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90" windowWidth="19440" windowHeight="11460" tabRatio="668" firstSheet="21" activeTab="21"/>
  </bookViews>
  <sheets>
    <sheet name="LISTADO DE PROYECTOS" sheetId="1" state="hidden" r:id="rId1"/>
    <sheet name="LISTADO PROYECTOS " sheetId="15" state="hidden" r:id="rId2"/>
    <sheet name=" AYUDAS_H1 PROYECTO 80-20%" sheetId="16" state="hidden" r:id="rId3"/>
    <sheet name=" AYUDAS_PROPUESTA_1" sheetId="17" state="hidden" r:id="rId4"/>
    <sheet name=" AYUDAS_H3_2PROYECTOS 80-FONDOS" sheetId="18" state="hidden" r:id="rId5"/>
    <sheet name=" AYUDAS_PROPUESTA_2" sheetId="21" state="hidden" r:id="rId6"/>
    <sheet name=" AYUDAS_PROPUESTA_3" sheetId="22" state="hidden" r:id="rId7"/>
    <sheet name=" AYUDAS_PROPUESTA_3SINIVA" sheetId="24" state="hidden" r:id="rId8"/>
    <sheet name="AYUDAS_1 PROYECTO 80-20" sheetId="10" state="hidden" r:id="rId9"/>
    <sheet name="DESCRIPICIÓN PROYECTOS_VALOR_1" sheetId="4" state="hidden" r:id="rId10"/>
    <sheet name="ASIGN_MODI" sheetId="8" state="hidden" r:id="rId11"/>
    <sheet name="ASIGN_MODI+" sheetId="9" state="hidden" r:id="rId12"/>
    <sheet name="DESCRIPICIÓN PROYECTOS_VALO100%" sheetId="7" state="hidden" r:id="rId13"/>
    <sheet name="REP_1P_MAX" sheetId="5" state="hidden" r:id="rId14"/>
    <sheet name="REP_2P" sheetId="6" state="hidden" r:id="rId15"/>
    <sheet name="SITUACION ECONOMICA 2" sheetId="11" state="hidden" r:id="rId16"/>
    <sheet name="REPARTO DE AYUDAS_1 PROYECT MOD" sheetId="14" state="hidden" r:id="rId17"/>
    <sheet name="SITUACION ECONOMICA_V2" sheetId="13" state="hidden" r:id="rId18"/>
    <sheet name="Hoja2 (2)" sheetId="12" state="hidden" r:id="rId19"/>
    <sheet name="Hoja2" sheetId="2" state="hidden" r:id="rId20"/>
    <sheet name="Hoja3" sheetId="3" state="hidden" r:id="rId21"/>
    <sheet name="recibidos" sheetId="36" r:id="rId22"/>
    <sheet name="excluidos" sheetId="28" r:id="rId23"/>
    <sheet name="valoración obtenida" sheetId="33" r:id="rId24"/>
    <sheet name="ayuda asignada" sheetId="35" r:id="rId25"/>
    <sheet name="Hoja1" sheetId="25" state="hidden" r:id="rId26"/>
  </sheets>
  <definedNames>
    <definedName name="_xlnm.Print_Area" localSheetId="2">' AYUDAS_H1 PROYECTO 80-20%'!$B$2:$S$24</definedName>
    <definedName name="_xlnm.Print_Area" localSheetId="4">' AYUDAS_H3_2PROYECTOS 80-FONDOS'!$B$2:$S$24</definedName>
    <definedName name="_xlnm.Print_Area" localSheetId="3">' AYUDAS_PROPUESTA_1'!$B$2:$T$24</definedName>
    <definedName name="_xlnm.Print_Area" localSheetId="5">' AYUDAS_PROPUESTA_2'!$B$2:$T$24</definedName>
    <definedName name="_xlnm.Print_Area" localSheetId="6">' AYUDAS_PROPUESTA_3'!$B$2:$T$24</definedName>
    <definedName name="_xlnm.Print_Area" localSheetId="7">' AYUDAS_PROPUESTA_3SINIVA'!$B$2:$U$24</definedName>
    <definedName name="_xlnm.Print_Area" localSheetId="24">'ayuda asignada'!$A$1:$F$18</definedName>
    <definedName name="_xlnm.Print_Area" localSheetId="22">excluidos!$A$1:$D$10</definedName>
    <definedName name="_xlnm.Print_Area" localSheetId="21">recibidos!$A$1:$C$35</definedName>
    <definedName name="_xlnm.Print_Area" localSheetId="23">'valoración obtenida'!$A$1:$E$29</definedName>
    <definedName name="_xlnm.Print_Titles" localSheetId="24">'ayuda asignada'!$1:$3</definedName>
    <definedName name="_xlnm.Print_Titles" localSheetId="21">recibidos!$1:$4</definedName>
    <definedName name="_xlnm.Print_Titles" localSheetId="23">'valoración obtenida'!$1:$3</definedName>
  </definedNames>
  <calcPr calcId="125725"/>
</workbook>
</file>

<file path=xl/calcChain.xml><?xml version="1.0" encoding="utf-8"?>
<calcChain xmlns="http://schemas.openxmlformats.org/spreadsheetml/2006/main">
  <c r="D19" i="35"/>
  <c r="H18" i="24" l="1"/>
  <c r="I18" s="1"/>
  <c r="H17"/>
  <c r="H16"/>
  <c r="S16" s="1"/>
  <c r="H15"/>
  <c r="I15" s="1"/>
  <c r="H14"/>
  <c r="I14" s="1"/>
  <c r="H13"/>
  <c r="I13" s="1"/>
  <c r="H12"/>
  <c r="H11"/>
  <c r="S11" s="1"/>
  <c r="H10"/>
  <c r="I10" s="1"/>
  <c r="R10" s="1"/>
  <c r="H9"/>
  <c r="I9" s="1"/>
  <c r="H8"/>
  <c r="I8" s="1"/>
  <c r="Q8" s="1"/>
  <c r="H7"/>
  <c r="I7" s="1"/>
  <c r="P7" s="1"/>
  <c r="H6"/>
  <c r="I6" s="1"/>
  <c r="H5"/>
  <c r="I5" s="1"/>
  <c r="H4"/>
  <c r="I4" s="1"/>
  <c r="G18"/>
  <c r="G17"/>
  <c r="G16"/>
  <c r="G15"/>
  <c r="G14"/>
  <c r="G13"/>
  <c r="G12"/>
  <c r="G11"/>
  <c r="G10"/>
  <c r="G9"/>
  <c r="G8"/>
  <c r="G7"/>
  <c r="G6"/>
  <c r="G5"/>
  <c r="G4"/>
  <c r="U16"/>
  <c r="R11"/>
  <c r="R22"/>
  <c r="N20"/>
  <c r="N19"/>
  <c r="N18"/>
  <c r="M18"/>
  <c r="R17"/>
  <c r="Q17"/>
  <c r="P17"/>
  <c r="N17"/>
  <c r="M17"/>
  <c r="O16"/>
  <c r="N16"/>
  <c r="M16"/>
  <c r="N15"/>
  <c r="M15"/>
  <c r="N14"/>
  <c r="M14"/>
  <c r="N13"/>
  <c r="M13"/>
  <c r="N12"/>
  <c r="M12" s="1"/>
  <c r="N11"/>
  <c r="M11"/>
  <c r="N10"/>
  <c r="M10" s="1"/>
  <c r="N9"/>
  <c r="M9" s="1"/>
  <c r="N4"/>
  <c r="M4" s="1"/>
  <c r="I12" l="1"/>
  <c r="R12" s="1"/>
  <c r="P9"/>
  <c r="O4"/>
  <c r="U10"/>
  <c r="Q10"/>
  <c r="S10"/>
  <c r="S17"/>
  <c r="O10"/>
  <c r="O18"/>
  <c r="P8"/>
  <c r="R8" s="1"/>
  <c r="S8" s="1"/>
  <c r="T10"/>
  <c r="P15"/>
  <c r="Q15" s="1"/>
  <c r="M19"/>
  <c r="M20"/>
  <c r="O9"/>
  <c r="Q11"/>
  <c r="O12"/>
  <c r="T11"/>
  <c r="Q7"/>
  <c r="Q9"/>
  <c r="T17"/>
  <c r="R9" l="1"/>
  <c r="U9" s="1"/>
  <c r="S12"/>
  <c r="T12"/>
  <c r="T8"/>
  <c r="O20"/>
  <c r="S9"/>
  <c r="R15"/>
  <c r="U12" s="1"/>
  <c r="P12"/>
  <c r="R7"/>
  <c r="U4" s="1"/>
  <c r="O19"/>
  <c r="T9" l="1"/>
  <c r="S7"/>
  <c r="R19"/>
  <c r="T7"/>
  <c r="P19"/>
  <c r="Q12"/>
  <c r="Q19" s="1"/>
  <c r="S15"/>
  <c r="T15"/>
  <c r="R22" i="22"/>
  <c r="N20"/>
  <c r="N19"/>
  <c r="N18"/>
  <c r="M18"/>
  <c r="J18"/>
  <c r="O18" s="1"/>
  <c r="I18"/>
  <c r="Q17"/>
  <c r="P17"/>
  <c r="R17" s="1"/>
  <c r="N17"/>
  <c r="M17"/>
  <c r="I17"/>
  <c r="N16"/>
  <c r="M16" s="1"/>
  <c r="I16"/>
  <c r="J16" s="1"/>
  <c r="P15"/>
  <c r="R15" s="1"/>
  <c r="N15"/>
  <c r="M15"/>
  <c r="I15"/>
  <c r="J15" s="1"/>
  <c r="N14"/>
  <c r="M14"/>
  <c r="I14"/>
  <c r="J14" s="1"/>
  <c r="N13"/>
  <c r="M13"/>
  <c r="I13"/>
  <c r="J13" s="1"/>
  <c r="Q12"/>
  <c r="P12"/>
  <c r="R12" s="1"/>
  <c r="N12"/>
  <c r="M12"/>
  <c r="J12"/>
  <c r="I12"/>
  <c r="R11"/>
  <c r="S11" s="1"/>
  <c r="Q11"/>
  <c r="P11"/>
  <c r="N11"/>
  <c r="M11"/>
  <c r="I11"/>
  <c r="R10"/>
  <c r="S10" s="1"/>
  <c r="P10"/>
  <c r="N10"/>
  <c r="M10"/>
  <c r="J10"/>
  <c r="O10" s="1"/>
  <c r="I10"/>
  <c r="N9"/>
  <c r="M9" s="1"/>
  <c r="M20" s="1"/>
  <c r="I9"/>
  <c r="J9" s="1"/>
  <c r="I8"/>
  <c r="J8" s="1"/>
  <c r="P7"/>
  <c r="R7" s="1"/>
  <c r="J7"/>
  <c r="Q7" s="1"/>
  <c r="I7"/>
  <c r="I6"/>
  <c r="J6" s="1"/>
  <c r="J5"/>
  <c r="I5"/>
  <c r="N4"/>
  <c r="M4" s="1"/>
  <c r="I4"/>
  <c r="J4" s="1"/>
  <c r="O4" s="1"/>
  <c r="Q12" i="17"/>
  <c r="Q11"/>
  <c r="R11"/>
  <c r="Q11" i="18"/>
  <c r="P11"/>
  <c r="Q12" i="21"/>
  <c r="Q11"/>
  <c r="R22"/>
  <c r="N20"/>
  <c r="N19"/>
  <c r="N18"/>
  <c r="M18"/>
  <c r="I18"/>
  <c r="J18" s="1"/>
  <c r="O18" s="1"/>
  <c r="Q17"/>
  <c r="P17"/>
  <c r="R17" s="1"/>
  <c r="N17"/>
  <c r="M17"/>
  <c r="I17"/>
  <c r="N16"/>
  <c r="M16" s="1"/>
  <c r="I16"/>
  <c r="J16" s="1"/>
  <c r="P15"/>
  <c r="R15" s="1"/>
  <c r="N15"/>
  <c r="M15"/>
  <c r="I15"/>
  <c r="J15" s="1"/>
  <c r="N14"/>
  <c r="M14"/>
  <c r="I14"/>
  <c r="J14" s="1"/>
  <c r="N13"/>
  <c r="M13"/>
  <c r="I13"/>
  <c r="J13" s="1"/>
  <c r="P12"/>
  <c r="R12" s="1"/>
  <c r="N12"/>
  <c r="M12"/>
  <c r="I12"/>
  <c r="J12" s="1"/>
  <c r="P11"/>
  <c r="R11" s="1"/>
  <c r="T11" s="1"/>
  <c r="N11"/>
  <c r="M11"/>
  <c r="I11"/>
  <c r="R10"/>
  <c r="S10" s="1"/>
  <c r="P10"/>
  <c r="N10"/>
  <c r="M10" s="1"/>
  <c r="J10"/>
  <c r="O10" s="1"/>
  <c r="I10"/>
  <c r="N9"/>
  <c r="M9" s="1"/>
  <c r="I9"/>
  <c r="J9" s="1"/>
  <c r="I8"/>
  <c r="J8" s="1"/>
  <c r="I7"/>
  <c r="J7" s="1"/>
  <c r="I6"/>
  <c r="J6" s="1"/>
  <c r="J5"/>
  <c r="I5"/>
  <c r="N4"/>
  <c r="M4" s="1"/>
  <c r="I4"/>
  <c r="J4" s="1"/>
  <c r="P17" i="18"/>
  <c r="O17"/>
  <c r="Q17" s="1"/>
  <c r="S17" s="1"/>
  <c r="Q22"/>
  <c r="M20"/>
  <c r="M19"/>
  <c r="M18"/>
  <c r="L18" s="1"/>
  <c r="I18"/>
  <c r="J18" s="1"/>
  <c r="N18" s="1"/>
  <c r="M17"/>
  <c r="L17"/>
  <c r="I17"/>
  <c r="M16"/>
  <c r="L16"/>
  <c r="I16"/>
  <c r="J16" s="1"/>
  <c r="M15"/>
  <c r="L15"/>
  <c r="I15"/>
  <c r="J15" s="1"/>
  <c r="Q15" s="1"/>
  <c r="M14"/>
  <c r="L14"/>
  <c r="I14"/>
  <c r="J14" s="1"/>
  <c r="M13"/>
  <c r="L13"/>
  <c r="I13"/>
  <c r="J13" s="1"/>
  <c r="M12"/>
  <c r="L12"/>
  <c r="I12"/>
  <c r="J12" s="1"/>
  <c r="M11"/>
  <c r="L11"/>
  <c r="I11"/>
  <c r="M10"/>
  <c r="L10" s="1"/>
  <c r="I10"/>
  <c r="J10" s="1"/>
  <c r="N10" s="1"/>
  <c r="M9"/>
  <c r="L9" s="1"/>
  <c r="L20" s="1"/>
  <c r="I9"/>
  <c r="J9" s="1"/>
  <c r="J8"/>
  <c r="P8" s="1"/>
  <c r="I8"/>
  <c r="J7"/>
  <c r="P7" s="1"/>
  <c r="I7"/>
  <c r="J6"/>
  <c r="I6"/>
  <c r="J5"/>
  <c r="I5"/>
  <c r="M4"/>
  <c r="L4" s="1"/>
  <c r="I4"/>
  <c r="J4" s="1"/>
  <c r="R22" i="17"/>
  <c r="N20"/>
  <c r="N19"/>
  <c r="N18"/>
  <c r="M18"/>
  <c r="I18"/>
  <c r="J18" s="1"/>
  <c r="O18" s="1"/>
  <c r="N17"/>
  <c r="M17"/>
  <c r="I17"/>
  <c r="N16"/>
  <c r="M16"/>
  <c r="I16"/>
  <c r="J16" s="1"/>
  <c r="O16" s="1"/>
  <c r="N15"/>
  <c r="M15"/>
  <c r="I15"/>
  <c r="J15" s="1"/>
  <c r="N14"/>
  <c r="M14"/>
  <c r="I14"/>
  <c r="J14" s="1"/>
  <c r="N13"/>
  <c r="M13"/>
  <c r="I13"/>
  <c r="J13" s="1"/>
  <c r="P12"/>
  <c r="N12"/>
  <c r="M12" s="1"/>
  <c r="J12"/>
  <c r="I12"/>
  <c r="N11"/>
  <c r="M11"/>
  <c r="I11"/>
  <c r="N10"/>
  <c r="M10" s="1"/>
  <c r="I10"/>
  <c r="J10" s="1"/>
  <c r="O10" s="1"/>
  <c r="N9"/>
  <c r="M9" s="1"/>
  <c r="I9"/>
  <c r="J9" s="1"/>
  <c r="I8"/>
  <c r="J8" s="1"/>
  <c r="I7"/>
  <c r="J7" s="1"/>
  <c r="I6"/>
  <c r="J6" s="1"/>
  <c r="I5"/>
  <c r="J5" s="1"/>
  <c r="N4"/>
  <c r="M4" s="1"/>
  <c r="I4"/>
  <c r="J4" s="1"/>
  <c r="Q22" i="16"/>
  <c r="M20"/>
  <c r="M19"/>
  <c r="M18"/>
  <c r="L18" s="1"/>
  <c r="I18"/>
  <c r="J18" s="1"/>
  <c r="N18" s="1"/>
  <c r="M17"/>
  <c r="L17"/>
  <c r="I17"/>
  <c r="M16"/>
  <c r="L16" s="1"/>
  <c r="J16"/>
  <c r="P16" s="1"/>
  <c r="I16"/>
  <c r="M15"/>
  <c r="L15"/>
  <c r="J15"/>
  <c r="I15"/>
  <c r="M14"/>
  <c r="L14"/>
  <c r="J14"/>
  <c r="I14"/>
  <c r="M13"/>
  <c r="L13"/>
  <c r="J13"/>
  <c r="I13"/>
  <c r="O12"/>
  <c r="P12" s="1"/>
  <c r="M12"/>
  <c r="L12" s="1"/>
  <c r="J12"/>
  <c r="N12" s="1"/>
  <c r="I12"/>
  <c r="P11"/>
  <c r="Q11" s="1"/>
  <c r="S11" s="1"/>
  <c r="M11"/>
  <c r="L11"/>
  <c r="I11"/>
  <c r="M10"/>
  <c r="L10" s="1"/>
  <c r="I10"/>
  <c r="J10" s="1"/>
  <c r="N10" s="1"/>
  <c r="M9"/>
  <c r="L9" s="1"/>
  <c r="J9"/>
  <c r="N9" s="1"/>
  <c r="I9"/>
  <c r="I8"/>
  <c r="J8" s="1"/>
  <c r="I7"/>
  <c r="J7" s="1"/>
  <c r="I6"/>
  <c r="J6" s="1"/>
  <c r="J5"/>
  <c r="I5"/>
  <c r="M4"/>
  <c r="L4" s="1"/>
  <c r="I4"/>
  <c r="J4" s="1"/>
  <c r="Q24" i="15"/>
  <c r="T20"/>
  <c r="S20"/>
  <c r="R20"/>
  <c r="K20"/>
  <c r="M20" s="1"/>
  <c r="F20"/>
  <c r="E20"/>
  <c r="M19"/>
  <c r="L19"/>
  <c r="G19"/>
  <c r="P18"/>
  <c r="O18"/>
  <c r="Q18" s="1"/>
  <c r="N18"/>
  <c r="M18"/>
  <c r="L18" s="1"/>
  <c r="G18"/>
  <c r="M17"/>
  <c r="L17" s="1"/>
  <c r="G17"/>
  <c r="H17" s="1"/>
  <c r="N17" s="1"/>
  <c r="M16"/>
  <c r="L16"/>
  <c r="G16"/>
  <c r="H16" s="1"/>
  <c r="M15"/>
  <c r="L15"/>
  <c r="G15"/>
  <c r="H15" s="1"/>
  <c r="M14"/>
  <c r="L14"/>
  <c r="G14"/>
  <c r="H14" s="1"/>
  <c r="P13"/>
  <c r="O13"/>
  <c r="Q13" s="1"/>
  <c r="M13"/>
  <c r="L13" s="1"/>
  <c r="G13"/>
  <c r="H13" s="1"/>
  <c r="Q12"/>
  <c r="P12"/>
  <c r="M12"/>
  <c r="L12"/>
  <c r="G12"/>
  <c r="M11"/>
  <c r="L11"/>
  <c r="G11"/>
  <c r="H11" s="1"/>
  <c r="N11" s="1"/>
  <c r="M10"/>
  <c r="L10" s="1"/>
  <c r="H10"/>
  <c r="O10" s="1"/>
  <c r="G10"/>
  <c r="H9"/>
  <c r="O9" s="1"/>
  <c r="G9"/>
  <c r="H8"/>
  <c r="G8"/>
  <c r="H7"/>
  <c r="G7"/>
  <c r="H6"/>
  <c r="G6"/>
  <c r="M5"/>
  <c r="L5" s="1"/>
  <c r="L20" s="1"/>
  <c r="H5"/>
  <c r="N5" s="1"/>
  <c r="G5"/>
  <c r="G20" s="1"/>
  <c r="Q24" i="24" l="1"/>
  <c r="Q20"/>
  <c r="P24"/>
  <c r="P20"/>
  <c r="S7" i="22"/>
  <c r="T7"/>
  <c r="T12"/>
  <c r="S12"/>
  <c r="O16"/>
  <c r="O19" s="1"/>
  <c r="T15"/>
  <c r="S15"/>
  <c r="P9"/>
  <c r="R9" s="1"/>
  <c r="Q9"/>
  <c r="O9"/>
  <c r="Q8"/>
  <c r="P8"/>
  <c r="S17"/>
  <c r="T17"/>
  <c r="Q19"/>
  <c r="M19"/>
  <c r="O12"/>
  <c r="P19"/>
  <c r="T10"/>
  <c r="T11"/>
  <c r="Q9" i="15"/>
  <c r="R15" i="18"/>
  <c r="O15"/>
  <c r="O12" s="1"/>
  <c r="S15"/>
  <c r="N12"/>
  <c r="Q12"/>
  <c r="N16"/>
  <c r="P16"/>
  <c r="Q7" i="21"/>
  <c r="P7"/>
  <c r="P9" i="15"/>
  <c r="O12" i="17"/>
  <c r="O7" i="18"/>
  <c r="Q7" s="1"/>
  <c r="R17"/>
  <c r="R11" i="16"/>
  <c r="M19" i="21"/>
  <c r="M20"/>
  <c r="R12" i="17"/>
  <c r="P10" i="15"/>
  <c r="Q10" s="1"/>
  <c r="M19" i="17"/>
  <c r="N4" i="18"/>
  <c r="T11" i="17"/>
  <c r="S11"/>
  <c r="S11" i="21"/>
  <c r="P8"/>
  <c r="Q8"/>
  <c r="O16"/>
  <c r="P16"/>
  <c r="Q16"/>
  <c r="T15"/>
  <c r="S15"/>
  <c r="O9"/>
  <c r="P9"/>
  <c r="Q9"/>
  <c r="T12"/>
  <c r="S12"/>
  <c r="S17"/>
  <c r="T17"/>
  <c r="O4"/>
  <c r="O12"/>
  <c r="R7"/>
  <c r="T10"/>
  <c r="P9" i="18"/>
  <c r="N9"/>
  <c r="N20" s="1"/>
  <c r="O9"/>
  <c r="Q9" s="1"/>
  <c r="L19"/>
  <c r="O16"/>
  <c r="Q16" s="1"/>
  <c r="O8"/>
  <c r="Q8" i="17"/>
  <c r="P8"/>
  <c r="O4"/>
  <c r="O19" s="1"/>
  <c r="M20"/>
  <c r="Q9"/>
  <c r="O9"/>
  <c r="O20" s="1"/>
  <c r="P9"/>
  <c r="R9" s="1"/>
  <c r="P16"/>
  <c r="Q16"/>
  <c r="P8" i="16"/>
  <c r="O8"/>
  <c r="N4"/>
  <c r="P9"/>
  <c r="P19" s="1"/>
  <c r="P24" s="1"/>
  <c r="L20"/>
  <c r="L19"/>
  <c r="O16"/>
  <c r="Q16" s="1"/>
  <c r="N16"/>
  <c r="N20" s="1"/>
  <c r="O9"/>
  <c r="Q9" s="1"/>
  <c r="Q12"/>
  <c r="N13" i="15"/>
  <c r="N10"/>
  <c r="H20"/>
  <c r="O20"/>
  <c r="O22" s="1"/>
  <c r="M20" i="14"/>
  <c r="Q23"/>
  <c r="M19"/>
  <c r="M17"/>
  <c r="L17"/>
  <c r="I17"/>
  <c r="M16"/>
  <c r="L16" s="1"/>
  <c r="I16"/>
  <c r="J16" s="1"/>
  <c r="M18"/>
  <c r="L18" s="1"/>
  <c r="I18"/>
  <c r="J18" s="1"/>
  <c r="N18" s="1"/>
  <c r="M15"/>
  <c r="L15"/>
  <c r="I15"/>
  <c r="J15" s="1"/>
  <c r="M14"/>
  <c r="L14"/>
  <c r="I14"/>
  <c r="J14" s="1"/>
  <c r="M13"/>
  <c r="L13"/>
  <c r="I13"/>
  <c r="J13" s="1"/>
  <c r="O12"/>
  <c r="P12" s="1"/>
  <c r="Q12" s="1"/>
  <c r="M12"/>
  <c r="L12" s="1"/>
  <c r="I12"/>
  <c r="J12" s="1"/>
  <c r="P11"/>
  <c r="Q11" s="1"/>
  <c r="M11"/>
  <c r="L11"/>
  <c r="I11"/>
  <c r="M10"/>
  <c r="L10" s="1"/>
  <c r="I10"/>
  <c r="J10" s="1"/>
  <c r="N10" s="1"/>
  <c r="M9"/>
  <c r="L9" s="1"/>
  <c r="L20" s="1"/>
  <c r="I9"/>
  <c r="J9" s="1"/>
  <c r="I8"/>
  <c r="J8" s="1"/>
  <c r="I7"/>
  <c r="J7" s="1"/>
  <c r="I6"/>
  <c r="J6" s="1"/>
  <c r="I5"/>
  <c r="J5" s="1"/>
  <c r="M4"/>
  <c r="L4" s="1"/>
  <c r="I4"/>
  <c r="J4" s="1"/>
  <c r="Q11" i="10"/>
  <c r="P11"/>
  <c r="O12"/>
  <c r="P12" s="1"/>
  <c r="H10"/>
  <c r="H4"/>
  <c r="G18"/>
  <c r="G17"/>
  <c r="G16"/>
  <c r="H16" s="1"/>
  <c r="G15"/>
  <c r="H15" s="1"/>
  <c r="G14"/>
  <c r="H14" s="1"/>
  <c r="G13"/>
  <c r="H13" s="1"/>
  <c r="G12"/>
  <c r="H12" s="1"/>
  <c r="G11"/>
  <c r="G10"/>
  <c r="G9"/>
  <c r="H9" s="1"/>
  <c r="G8"/>
  <c r="H8" s="1"/>
  <c r="G7"/>
  <c r="H7" s="1"/>
  <c r="G6"/>
  <c r="H6" s="1"/>
  <c r="G5"/>
  <c r="H5" s="1"/>
  <c r="G4"/>
  <c r="R24" i="24" l="1"/>
  <c r="R20"/>
  <c r="P24" i="22"/>
  <c r="Q24"/>
  <c r="T9"/>
  <c r="S9"/>
  <c r="S16"/>
  <c r="R8"/>
  <c r="O20"/>
  <c r="H19" i="10"/>
  <c r="Q12"/>
  <c r="G19"/>
  <c r="N20" i="15"/>
  <c r="R12" i="16"/>
  <c r="S12"/>
  <c r="R16" i="17"/>
  <c r="R16" i="21"/>
  <c r="T16" s="1"/>
  <c r="Q19"/>
  <c r="P20" i="15"/>
  <c r="P22" s="1"/>
  <c r="P23" s="1"/>
  <c r="P15" i="18"/>
  <c r="R9" i="16"/>
  <c r="S9"/>
  <c r="S16"/>
  <c r="R16"/>
  <c r="T9" i="17"/>
  <c r="S9"/>
  <c r="R16" i="18"/>
  <c r="S16"/>
  <c r="S9"/>
  <c r="R9"/>
  <c r="S7"/>
  <c r="R7"/>
  <c r="S12"/>
  <c r="P12"/>
  <c r="R12"/>
  <c r="Q20" i="15"/>
  <c r="Q22" s="1"/>
  <c r="O23" s="1"/>
  <c r="T12" i="17"/>
  <c r="S12"/>
  <c r="Q24" i="21"/>
  <c r="S7"/>
  <c r="T7"/>
  <c r="O19"/>
  <c r="O20"/>
  <c r="P19"/>
  <c r="R9"/>
  <c r="R8"/>
  <c r="S16"/>
  <c r="Q8" i="18"/>
  <c r="O19"/>
  <c r="N19"/>
  <c r="Q19" i="17"/>
  <c r="P19"/>
  <c r="R8"/>
  <c r="O19" i="16"/>
  <c r="O24" s="1"/>
  <c r="Q24" s="1"/>
  <c r="Q8"/>
  <c r="N19"/>
  <c r="Q19"/>
  <c r="O7" i="14"/>
  <c r="P7"/>
  <c r="O16"/>
  <c r="N16"/>
  <c r="P16"/>
  <c r="N9"/>
  <c r="P9"/>
  <c r="N4"/>
  <c r="N12"/>
  <c r="L19"/>
  <c r="O9"/>
  <c r="N11" i="13"/>
  <c r="O11" s="1"/>
  <c r="N12"/>
  <c r="O12" s="1"/>
  <c r="Q18"/>
  <c r="P18"/>
  <c r="R18" s="1"/>
  <c r="T11"/>
  <c r="N9"/>
  <c r="M9"/>
  <c r="P5"/>
  <c r="Q5"/>
  <c r="P6"/>
  <c r="Q6"/>
  <c r="P7"/>
  <c r="Q7"/>
  <c r="Q4"/>
  <c r="P4"/>
  <c r="R4" s="1"/>
  <c r="N8"/>
  <c r="M8"/>
  <c r="O8" s="1"/>
  <c r="M21"/>
  <c r="N17"/>
  <c r="M17"/>
  <c r="O17" s="1"/>
  <c r="R23"/>
  <c r="I19"/>
  <c r="K19" s="1"/>
  <c r="G19"/>
  <c r="F19"/>
  <c r="E19"/>
  <c r="K18"/>
  <c r="J18"/>
  <c r="L17"/>
  <c r="K17"/>
  <c r="J17" s="1"/>
  <c r="L16"/>
  <c r="K16"/>
  <c r="J16"/>
  <c r="K15"/>
  <c r="J15"/>
  <c r="K14"/>
  <c r="J14"/>
  <c r="K13"/>
  <c r="J13"/>
  <c r="L12"/>
  <c r="K12"/>
  <c r="J12" s="1"/>
  <c r="K11"/>
  <c r="J11"/>
  <c r="L10"/>
  <c r="K10"/>
  <c r="J10"/>
  <c r="L9"/>
  <c r="K9"/>
  <c r="J9" s="1"/>
  <c r="L4"/>
  <c r="K4"/>
  <c r="J4" s="1"/>
  <c r="O11" i="11"/>
  <c r="S11" s="1"/>
  <c r="O12"/>
  <c r="S12" s="1"/>
  <c r="Q19"/>
  <c r="P19"/>
  <c r="R23"/>
  <c r="R19"/>
  <c r="I19"/>
  <c r="K19" s="1"/>
  <c r="G19"/>
  <c r="F19"/>
  <c r="E19"/>
  <c r="K18"/>
  <c r="J18"/>
  <c r="N17"/>
  <c r="M17"/>
  <c r="O17" s="1"/>
  <c r="L17"/>
  <c r="K17"/>
  <c r="J17" s="1"/>
  <c r="L16"/>
  <c r="K16"/>
  <c r="J16" s="1"/>
  <c r="T15"/>
  <c r="K15"/>
  <c r="J15"/>
  <c r="K14"/>
  <c r="J14"/>
  <c r="K13"/>
  <c r="J13"/>
  <c r="L12"/>
  <c r="K12"/>
  <c r="J12" s="1"/>
  <c r="K11"/>
  <c r="J11"/>
  <c r="L10"/>
  <c r="K10"/>
  <c r="J10"/>
  <c r="N9"/>
  <c r="M9"/>
  <c r="O9" s="1"/>
  <c r="L9"/>
  <c r="K9"/>
  <c r="J9"/>
  <c r="N8"/>
  <c r="M8"/>
  <c r="O8" s="1"/>
  <c r="L4"/>
  <c r="K4"/>
  <c r="J4" s="1"/>
  <c r="J19" s="1"/>
  <c r="O9" i="10"/>
  <c r="Q9" s="1"/>
  <c r="P9"/>
  <c r="Q23"/>
  <c r="P17"/>
  <c r="O17"/>
  <c r="Q17" s="1"/>
  <c r="P8"/>
  <c r="O8"/>
  <c r="L11"/>
  <c r="L13"/>
  <c r="L14"/>
  <c r="L15"/>
  <c r="L18"/>
  <c r="M18"/>
  <c r="M17"/>
  <c r="L17" s="1"/>
  <c r="M16"/>
  <c r="L16" s="1"/>
  <c r="M15"/>
  <c r="M14"/>
  <c r="M13"/>
  <c r="M12"/>
  <c r="L12" s="1"/>
  <c r="M11"/>
  <c r="M10"/>
  <c r="L10" s="1"/>
  <c r="M9"/>
  <c r="L9" s="1"/>
  <c r="M4"/>
  <c r="L4" s="1"/>
  <c r="K19"/>
  <c r="M19" s="1"/>
  <c r="N17"/>
  <c r="N16"/>
  <c r="N12"/>
  <c r="N10"/>
  <c r="N9"/>
  <c r="N4"/>
  <c r="N19" s="1"/>
  <c r="F19"/>
  <c r="E19"/>
  <c r="I7" i="4"/>
  <c r="S8" i="22" l="1"/>
  <c r="T8"/>
  <c r="R19"/>
  <c r="R24"/>
  <c r="L19" i="11"/>
  <c r="N11"/>
  <c r="L19" i="13"/>
  <c r="R7"/>
  <c r="R6"/>
  <c r="R19" s="1"/>
  <c r="R5"/>
  <c r="O9"/>
  <c r="N20" i="14"/>
  <c r="P19"/>
  <c r="P21" s="1"/>
  <c r="S8" i="16"/>
  <c r="R8"/>
  <c r="R19" i="17"/>
  <c r="S8"/>
  <c r="T8"/>
  <c r="S16"/>
  <c r="T16"/>
  <c r="N12" i="11"/>
  <c r="Q16" i="14"/>
  <c r="O19"/>
  <c r="R8" i="18"/>
  <c r="S8"/>
  <c r="S9" i="21"/>
  <c r="T9"/>
  <c r="T8"/>
  <c r="S8"/>
  <c r="P24"/>
  <c r="R24" s="1"/>
  <c r="R19"/>
  <c r="Q20" s="1"/>
  <c r="O24" i="18"/>
  <c r="Q24" i="17"/>
  <c r="Q20"/>
  <c r="P24"/>
  <c r="R24" s="1"/>
  <c r="P20"/>
  <c r="O20" i="16"/>
  <c r="Q20" s="1"/>
  <c r="P20"/>
  <c r="N19" i="14"/>
  <c r="Q9"/>
  <c r="Q7"/>
  <c r="O21"/>
  <c r="Q8" i="10"/>
  <c r="T14" i="13"/>
  <c r="J19"/>
  <c r="M19"/>
  <c r="Q19"/>
  <c r="O19" i="11"/>
  <c r="R21" s="1"/>
  <c r="N19"/>
  <c r="Q21" s="1"/>
  <c r="M19"/>
  <c r="P21" s="1"/>
  <c r="P19" i="10"/>
  <c r="L19"/>
  <c r="R12" i="9"/>
  <c r="R13"/>
  <c r="R15"/>
  <c r="Q12"/>
  <c r="Q13"/>
  <c r="Q15"/>
  <c r="Q20" i="22" l="1"/>
  <c r="P20"/>
  <c r="R20" s="1"/>
  <c r="Q20" i="14"/>
  <c r="Q19"/>
  <c r="O20"/>
  <c r="P20"/>
  <c r="P20" i="21"/>
  <c r="R20" s="1"/>
  <c r="R20" i="17"/>
  <c r="Q21" i="14"/>
  <c r="P22" s="1"/>
  <c r="O22"/>
  <c r="P19" i="13"/>
  <c r="P21" s="1"/>
  <c r="Q25" i="11"/>
  <c r="Q26"/>
  <c r="J17" i="9" l="1"/>
  <c r="I17"/>
  <c r="H17"/>
  <c r="J16"/>
  <c r="I16"/>
  <c r="H16"/>
  <c r="I15"/>
  <c r="J15" s="1"/>
  <c r="H15"/>
  <c r="I14"/>
  <c r="J14" s="1"/>
  <c r="M14" s="1"/>
  <c r="G14"/>
  <c r="H14" s="1"/>
  <c r="I13"/>
  <c r="J13" s="1"/>
  <c r="H13"/>
  <c r="I12"/>
  <c r="J12" s="1"/>
  <c r="H12"/>
  <c r="J11"/>
  <c r="I11"/>
  <c r="H11"/>
  <c r="J10"/>
  <c r="I10"/>
  <c r="H10"/>
  <c r="J9"/>
  <c r="I9"/>
  <c r="J8"/>
  <c r="N8" s="1"/>
  <c r="I8"/>
  <c r="H8"/>
  <c r="I7"/>
  <c r="J7" s="1"/>
  <c r="N7" s="1"/>
  <c r="H7"/>
  <c r="J6"/>
  <c r="N6" s="1"/>
  <c r="I6"/>
  <c r="H6"/>
  <c r="J5"/>
  <c r="I5"/>
  <c r="H5"/>
  <c r="J4"/>
  <c r="I4"/>
  <c r="H4"/>
  <c r="J3"/>
  <c r="I3"/>
  <c r="H3"/>
  <c r="O11" i="8"/>
  <c r="O10"/>
  <c r="M16"/>
  <c r="J17"/>
  <c r="I17"/>
  <c r="H17"/>
  <c r="J16"/>
  <c r="N16" s="1"/>
  <c r="I16"/>
  <c r="H16"/>
  <c r="I15"/>
  <c r="J15" s="1"/>
  <c r="H15"/>
  <c r="J14"/>
  <c r="I14"/>
  <c r="H14"/>
  <c r="G14"/>
  <c r="J13"/>
  <c r="I13"/>
  <c r="H13"/>
  <c r="I12"/>
  <c r="J12" s="1"/>
  <c r="H12"/>
  <c r="J11"/>
  <c r="I11"/>
  <c r="H11"/>
  <c r="J10"/>
  <c r="I10"/>
  <c r="H10"/>
  <c r="J9"/>
  <c r="I9"/>
  <c r="J8"/>
  <c r="N8" s="1"/>
  <c r="I8"/>
  <c r="H8"/>
  <c r="J7"/>
  <c r="I7"/>
  <c r="H7"/>
  <c r="J6"/>
  <c r="N6" s="1"/>
  <c r="I6"/>
  <c r="H6"/>
  <c r="J5"/>
  <c r="I5"/>
  <c r="H5"/>
  <c r="J4"/>
  <c r="I4"/>
  <c r="H4"/>
  <c r="J3"/>
  <c r="I3"/>
  <c r="H3"/>
  <c r="N17" i="7"/>
  <c r="J15"/>
  <c r="J8"/>
  <c r="N8" s="1"/>
  <c r="J6"/>
  <c r="N6" s="1"/>
  <c r="J3"/>
  <c r="J4"/>
  <c r="J17"/>
  <c r="M17" s="1"/>
  <c r="O17" s="1"/>
  <c r="I17"/>
  <c r="H17"/>
  <c r="J16"/>
  <c r="I16"/>
  <c r="H16"/>
  <c r="I15"/>
  <c r="H15"/>
  <c r="I14"/>
  <c r="J14" s="1"/>
  <c r="G14"/>
  <c r="H14" s="1"/>
  <c r="I13"/>
  <c r="J13" s="1"/>
  <c r="H13"/>
  <c r="I12"/>
  <c r="J12" s="1"/>
  <c r="H12"/>
  <c r="O11"/>
  <c r="J11"/>
  <c r="I11"/>
  <c r="H11"/>
  <c r="J10"/>
  <c r="I10"/>
  <c r="H10"/>
  <c r="I9"/>
  <c r="J9" s="1"/>
  <c r="I8"/>
  <c r="H8"/>
  <c r="J7"/>
  <c r="I7"/>
  <c r="H7"/>
  <c r="I6"/>
  <c r="H6"/>
  <c r="J5"/>
  <c r="I5"/>
  <c r="H5"/>
  <c r="I4"/>
  <c r="H4"/>
  <c r="I3"/>
  <c r="H3"/>
  <c r="N9" i="6"/>
  <c r="O10"/>
  <c r="O9"/>
  <c r="M7"/>
  <c r="N11" i="5"/>
  <c r="O11"/>
  <c r="J17" i="6"/>
  <c r="I17"/>
  <c r="H17"/>
  <c r="J16"/>
  <c r="N16" s="1"/>
  <c r="I16"/>
  <c r="H16"/>
  <c r="I15"/>
  <c r="J15" s="1"/>
  <c r="H15"/>
  <c r="I14"/>
  <c r="J14" s="1"/>
  <c r="M14" s="1"/>
  <c r="G14"/>
  <c r="H14" s="1"/>
  <c r="I13"/>
  <c r="J13" s="1"/>
  <c r="H13"/>
  <c r="I12"/>
  <c r="J12" s="1"/>
  <c r="H12"/>
  <c r="J11"/>
  <c r="M23" s="1"/>
  <c r="I11"/>
  <c r="H11"/>
  <c r="J10"/>
  <c r="M22" s="1"/>
  <c r="I10"/>
  <c r="H10"/>
  <c r="I9"/>
  <c r="J9" s="1"/>
  <c r="J8"/>
  <c r="N8" s="1"/>
  <c r="I8"/>
  <c r="H8"/>
  <c r="J7"/>
  <c r="N7" s="1"/>
  <c r="I7"/>
  <c r="H7"/>
  <c r="J6"/>
  <c r="N6" s="1"/>
  <c r="I6"/>
  <c r="H6"/>
  <c r="J5"/>
  <c r="I5"/>
  <c r="H5"/>
  <c r="J4"/>
  <c r="I4"/>
  <c r="H4"/>
  <c r="J3"/>
  <c r="I3"/>
  <c r="H3"/>
  <c r="N10" i="5"/>
  <c r="O10" s="1"/>
  <c r="M22"/>
  <c r="N17"/>
  <c r="J17"/>
  <c r="M17" s="1"/>
  <c r="O17" s="1"/>
  <c r="I17"/>
  <c r="H17"/>
  <c r="J16"/>
  <c r="I16"/>
  <c r="H16"/>
  <c r="I15"/>
  <c r="J15" s="1"/>
  <c r="H15"/>
  <c r="I14"/>
  <c r="J14" s="1"/>
  <c r="H14"/>
  <c r="G14"/>
  <c r="J13"/>
  <c r="I13"/>
  <c r="H13"/>
  <c r="I12"/>
  <c r="J12" s="1"/>
  <c r="H12"/>
  <c r="J11"/>
  <c r="M23" s="1"/>
  <c r="I11"/>
  <c r="H11"/>
  <c r="J10"/>
  <c r="I10"/>
  <c r="H10"/>
  <c r="J9"/>
  <c r="I9"/>
  <c r="N8"/>
  <c r="J8"/>
  <c r="M8" s="1"/>
  <c r="I8"/>
  <c r="H8"/>
  <c r="J7"/>
  <c r="I7"/>
  <c r="H7"/>
  <c r="I6"/>
  <c r="J6" s="1"/>
  <c r="H6"/>
  <c r="J5"/>
  <c r="I5"/>
  <c r="H5"/>
  <c r="J4"/>
  <c r="I4"/>
  <c r="H4"/>
  <c r="J3"/>
  <c r="I3"/>
  <c r="H3"/>
  <c r="O11" i="4"/>
  <c r="N11"/>
  <c r="N10"/>
  <c r="O10" s="1"/>
  <c r="J17"/>
  <c r="J16"/>
  <c r="M16" s="1"/>
  <c r="J10"/>
  <c r="J11"/>
  <c r="J8"/>
  <c r="N8" s="1"/>
  <c r="J7"/>
  <c r="M7" s="1"/>
  <c r="J5"/>
  <c r="J4"/>
  <c r="J3"/>
  <c r="I17"/>
  <c r="I9"/>
  <c r="J9" s="1"/>
  <c r="M6" i="5" l="1"/>
  <c r="O6" s="1"/>
  <c r="N6"/>
  <c r="M24"/>
  <c r="N23" s="1"/>
  <c r="O6" i="8"/>
  <c r="N14" i="9"/>
  <c r="O14" s="1"/>
  <c r="Q14" s="1"/>
  <c r="M11"/>
  <c r="O8" i="5"/>
  <c r="M11" i="6"/>
  <c r="Q14" s="1"/>
  <c r="N14"/>
  <c r="O14" s="1"/>
  <c r="M16"/>
  <c r="O16" s="1"/>
  <c r="M6" i="7"/>
  <c r="O6" s="1"/>
  <c r="M8" i="8"/>
  <c r="O8" s="1"/>
  <c r="M6"/>
  <c r="M6" i="9"/>
  <c r="M17"/>
  <c r="N17"/>
  <c r="O7" i="6"/>
  <c r="O16" i="8"/>
  <c r="M9" i="9"/>
  <c r="N9"/>
  <c r="M16"/>
  <c r="N16"/>
  <c r="M8"/>
  <c r="O8" s="1"/>
  <c r="R8" s="1"/>
  <c r="M7"/>
  <c r="O6"/>
  <c r="R6" s="1"/>
  <c r="N18" i="8"/>
  <c r="M15" i="7"/>
  <c r="N15"/>
  <c r="N18" s="1"/>
  <c r="M8"/>
  <c r="O8" s="1"/>
  <c r="N11" i="6"/>
  <c r="O11" s="1"/>
  <c r="M24"/>
  <c r="N22" s="1"/>
  <c r="N23"/>
  <c r="M6"/>
  <c r="M8"/>
  <c r="O8" s="1"/>
  <c r="N15" i="5"/>
  <c r="N18" s="1"/>
  <c r="N20" s="1"/>
  <c r="M15"/>
  <c r="N16" i="4"/>
  <c r="O16" s="1"/>
  <c r="M8"/>
  <c r="O8" s="1"/>
  <c r="N7"/>
  <c r="O7" s="1"/>
  <c r="I16"/>
  <c r="I15"/>
  <c r="J15" s="1"/>
  <c r="I14"/>
  <c r="J14" s="1"/>
  <c r="I13"/>
  <c r="J13" s="1"/>
  <c r="I12"/>
  <c r="J12" s="1"/>
  <c r="I11"/>
  <c r="I10"/>
  <c r="I8"/>
  <c r="I6"/>
  <c r="J6" s="1"/>
  <c r="I5"/>
  <c r="I4"/>
  <c r="G14"/>
  <c r="H14" s="1"/>
  <c r="H10"/>
  <c r="I3"/>
  <c r="H4"/>
  <c r="H5"/>
  <c r="H6"/>
  <c r="H7"/>
  <c r="H8"/>
  <c r="H11"/>
  <c r="H12"/>
  <c r="H13"/>
  <c r="H15"/>
  <c r="H16"/>
  <c r="H17"/>
  <c r="H3"/>
  <c r="O23" i="5" l="1"/>
  <c r="O7" i="9"/>
  <c r="R7" s="1"/>
  <c r="Q7"/>
  <c r="O16"/>
  <c r="R16"/>
  <c r="Q17"/>
  <c r="O17"/>
  <c r="N22" i="5"/>
  <c r="N11" i="9"/>
  <c r="Q8"/>
  <c r="Q16"/>
  <c r="M10"/>
  <c r="O9"/>
  <c r="R9" s="1"/>
  <c r="R17"/>
  <c r="Q6"/>
  <c r="R14"/>
  <c r="N18" i="6"/>
  <c r="N20" s="1"/>
  <c r="O22" s="1"/>
  <c r="M18" i="8"/>
  <c r="O18" s="1"/>
  <c r="M18" i="7"/>
  <c r="O18" s="1"/>
  <c r="O15"/>
  <c r="O6" i="6"/>
  <c r="M18"/>
  <c r="O22" i="5"/>
  <c r="M18"/>
  <c r="O18" s="1"/>
  <c r="O15"/>
  <c r="N15" i="4"/>
  <c r="N18" s="1"/>
  <c r="M15"/>
  <c r="O15" s="1"/>
  <c r="Q9" i="9" l="1"/>
  <c r="O11"/>
  <c r="Q11" s="1"/>
  <c r="R11"/>
  <c r="O18" i="6"/>
  <c r="N10" i="9"/>
  <c r="O10"/>
  <c r="Q10" s="1"/>
  <c r="M18"/>
  <c r="O23" i="6"/>
  <c r="M18" i="4"/>
  <c r="O18" s="1"/>
  <c r="O19" i="10"/>
  <c r="Q19"/>
  <c r="R19"/>
  <c r="S19"/>
  <c r="P21" s="1"/>
  <c r="T19"/>
  <c r="R10" i="9" l="1"/>
  <c r="N18"/>
  <c r="O18"/>
  <c r="Q21" i="10"/>
  <c r="P22" s="1"/>
  <c r="O21"/>
  <c r="N19" i="13"/>
  <c r="Q21" s="1"/>
  <c r="O19"/>
  <c r="R21" s="1"/>
  <c r="P22" s="1"/>
  <c r="O22" i="10" l="1"/>
  <c r="Q22" i="13"/>
  <c r="R11" i="18"/>
  <c r="S11"/>
  <c r="P19"/>
  <c r="Q19"/>
  <c r="O20" s="1"/>
  <c r="P24" l="1"/>
  <c r="Q24" s="1"/>
  <c r="P20"/>
  <c r="Q20" s="1"/>
</calcChain>
</file>

<file path=xl/sharedStrings.xml><?xml version="1.0" encoding="utf-8"?>
<sst xmlns="http://schemas.openxmlformats.org/spreadsheetml/2006/main" count="1416" uniqueCount="211">
  <si>
    <t>Soterramiento de la línea de baja tensión en las calles Real y Príncipe de Cambados</t>
  </si>
  <si>
    <t>Rutas accesibles en Sevilla. Actuaciones en calle San Pablo y Puerta de Triana.</t>
  </si>
  <si>
    <t>Acondicionamiento urbano y dinamización comercial de la calle Sorbas de Carboneras.</t>
  </si>
  <si>
    <t>Señalética en la Zona de G.A.T. de Isla Cristina.</t>
  </si>
  <si>
    <t>Señalética en la Zona de G.A.T. de Ayamonte.</t>
  </si>
  <si>
    <t>PROYECTO</t>
  </si>
  <si>
    <t>Plan Integral de innovación comercial y ecomarketing en mercados de abastos y áreas de comercio denso del centro de Ayamonte, Marbella, Málaga y Sevilla.</t>
  </si>
  <si>
    <t>Adecentamiento de la Calle Gerardo Lobo de Toledo.</t>
  </si>
  <si>
    <t>Modernización del Mercado de Abastos Municipal de Ávila.</t>
  </si>
  <si>
    <t>Rehabilitación y desarrollo del Mercado del Val, Valladolid.</t>
  </si>
  <si>
    <t>Acondicionamiento del espacio urbano y comercial de la Plaza Séneca de Alicante.</t>
  </si>
  <si>
    <t>Mejora de los equipamientos de la Zona Norte Bulevar de Ondara.</t>
  </si>
  <si>
    <t>Ubicación enfriadora y adecuaciones para la climatización del Mercado Central de Valencia.</t>
  </si>
  <si>
    <t>Remodelación de la Plaza de Abastos de Águilas.</t>
  </si>
  <si>
    <t>Recinto Ferial de Águilas.</t>
  </si>
  <si>
    <t>FICHA</t>
  </si>
  <si>
    <t>VALORACIÓN</t>
  </si>
  <si>
    <t>SÍ</t>
  </si>
  <si>
    <t>SI</t>
  </si>
  <si>
    <t>Andalucía</t>
  </si>
  <si>
    <t>Castilla La Mancha</t>
  </si>
  <si>
    <t>Castilla- León</t>
  </si>
  <si>
    <t>Comunidad Valenciana</t>
  </si>
  <si>
    <t>Galicia</t>
  </si>
  <si>
    <t>Región de Murcia</t>
  </si>
  <si>
    <t>Promotor</t>
  </si>
  <si>
    <t>Presupuesto (IVA n.i)</t>
  </si>
  <si>
    <t>Presupuesto elegible (IVA n.i)</t>
  </si>
  <si>
    <t xml:space="preserve">Ayuda solicitada </t>
  </si>
  <si>
    <t>% Ayuda sobre presupuesto elegible</t>
  </si>
  <si>
    <t>Puntuación  obtenida evaluación</t>
  </si>
  <si>
    <t>Ayuntamiento de Ayamonte.</t>
  </si>
  <si>
    <t>Ayuntamiento de Isla Cristina.</t>
  </si>
  <si>
    <t>Ayuntamiento de Carboneras.</t>
  </si>
  <si>
    <t>Señalética en la Zona de G.A.T. de Isla Cristina (Huelva).</t>
  </si>
  <si>
    <t>Señalética en la Zona de G.A.T. de Ayamonte (Huelva).</t>
  </si>
  <si>
    <t>Acondicionamiento urbano y dinamización comercial de la calle Sorbas de Carboneras (Almería).</t>
  </si>
  <si>
    <t>Ayuntamiento de Ondara.</t>
  </si>
  <si>
    <t>Ayuntamiento de Alicante.</t>
  </si>
  <si>
    <t>Consorcio del Mercado del Val.</t>
  </si>
  <si>
    <t>Ayuntamiento de Ávila.</t>
  </si>
  <si>
    <t>Ayuntamiento de Todelo.</t>
  </si>
  <si>
    <t>Confederación Empresarial de Comercio de Andalucía (CECA).</t>
  </si>
  <si>
    <t>Ayuntamiento de Sevilla.</t>
  </si>
  <si>
    <t>Ayuntamiento de Teulada- Moraira.</t>
  </si>
  <si>
    <t>Ayuntamiento de Valencia.</t>
  </si>
  <si>
    <t>Concello de Cambados.</t>
  </si>
  <si>
    <t>Ayuntamiento de Águilas.</t>
  </si>
  <si>
    <t>CCAA</t>
  </si>
  <si>
    <t>Nº</t>
  </si>
  <si>
    <t>Ayuda máxima (60% presupuesto elegible). Clausula 9</t>
  </si>
  <si>
    <t>Corresponde a FASE I</t>
  </si>
  <si>
    <t>Observaciones</t>
  </si>
  <si>
    <t>147.104,44* €</t>
  </si>
  <si>
    <t>Mejora del equipamiento urbano de la calle Dr. Calatayud Bayà de Teulada-Moraira.</t>
  </si>
  <si>
    <t>Mejora de los equipamientos de la zona norte Bulevar de Ondara.</t>
  </si>
  <si>
    <t>Solo elegible parte de la fase II.</t>
  </si>
  <si>
    <t>Solo elegible construcción aparcamiento.</t>
  </si>
  <si>
    <t>Ayuda máxima según ayuda solicitiada y máxima posible</t>
  </si>
  <si>
    <t>Disponibilidad fondos FEDER CCAA</t>
  </si>
  <si>
    <t>Ayuda concedida 1er proyecto FEDER</t>
  </si>
  <si>
    <t>Ayuda concedida 1er proyecto Ministerio</t>
  </si>
  <si>
    <t>PRIMEROS PROYECTOS 60%</t>
  </si>
  <si>
    <t>TOTAL</t>
  </si>
  <si>
    <t>Total ayuda</t>
  </si>
  <si>
    <t>NO CUMPLE</t>
  </si>
  <si>
    <t>Rutas accesibles en Sevilla. Actuaciones en calle San Pablo y Puerta de Triana (Sevilla).</t>
  </si>
  <si>
    <t>Presupuesto  inversión (IVA n.i)</t>
  </si>
  <si>
    <t>Ayuda máxima (60% p.el o solicitado)</t>
  </si>
  <si>
    <t>Maxima ayuda posible si FEDER 80% ayuda</t>
  </si>
  <si>
    <t>Maxima ayuda Ministerio si FEDER=80%</t>
  </si>
  <si>
    <t>Ayuda máxima por CCAA por proyectos presentados</t>
  </si>
  <si>
    <t>FEDER</t>
  </si>
  <si>
    <t>MINISTERIO</t>
  </si>
  <si>
    <t>AYUDA A 1ER PROYECTO POR PUNTUACIÓN</t>
  </si>
  <si>
    <t>AYUDA A 2º  PROYECTO POR PUNTUACIÓN</t>
  </si>
  <si>
    <t>2º</t>
  </si>
  <si>
    <t>-</t>
  </si>
  <si>
    <t>MAXIMO</t>
  </si>
  <si>
    <t>Presupuesto elegible (IVA incluido)</t>
  </si>
  <si>
    <t>Ayuda máxima (60% presupuesto elegible o importe solicitado)</t>
  </si>
  <si>
    <t>Ayuda máxima (60% presupuesto elegible o importe solicitado. IVA incluido)</t>
  </si>
  <si>
    <t>Ayuda Fondos del FEDER (20%)</t>
  </si>
  <si>
    <t>Ayuda Fondos del Ministerio (80%)</t>
  </si>
  <si>
    <t>Total propuesta de ayuda</t>
  </si>
  <si>
    <t>No elegible. No cumple condición establecida en Clausual 6.b. El proyecto no se desarrolla en ZGAT.</t>
  </si>
  <si>
    <t>SELECCIÓN DE PROYECTOS Y PROPUESTA DE ASIGNACIÓN DE AYUDA</t>
  </si>
  <si>
    <t xml:space="preserve">Disponibilidad fondos FEDER </t>
  </si>
  <si>
    <t>RESUMEN DE LOS PROYECTOS PRESENTADOS CONVOCATORIA 2014</t>
  </si>
  <si>
    <t>Gasto elegible solo referido a Fase II</t>
  </si>
  <si>
    <t>Ayuda solicitada inferior a máximo posible.</t>
  </si>
  <si>
    <t>Solo elegible inversión en construcción aparcamiento.Ayuda solicitada inferior a máximo posible.</t>
  </si>
  <si>
    <t>Ayuda solicitada para fase actual (trabajos previos).</t>
  </si>
  <si>
    <t>Ayuda máxima (60% presupuesto elegible IVA incluido o importe solicitado)</t>
  </si>
  <si>
    <t>Ayuntamiento de Toledo.</t>
  </si>
  <si>
    <t>No elegible. No cumple condición establecida en Cláusula 6.b. El proyecto no se desarrolla en ZGAT.</t>
  </si>
  <si>
    <t>Solo elegible inversión en construcción aparcamiento. Ayuda solicitada inferior a máximo posible.</t>
  </si>
  <si>
    <t>% FONDOS</t>
  </si>
  <si>
    <t>DISPONIBLE</t>
  </si>
  <si>
    <t>REMANENTE</t>
  </si>
  <si>
    <t>% AYUDA/ PRESUPUESTO ELEGIBLE</t>
  </si>
  <si>
    <t>H1: 1 PROYECTO POR CCAA Y REPARTO 80%-20%</t>
  </si>
  <si>
    <t>H3: 2 PROYECTOS POR CCAA, EXCEPTO CYL  Y  AGOTAR FONDOS MINISTERIO.</t>
  </si>
  <si>
    <t>No elegible. No cumple condición establecida en Clausula 6.b. El proyecto no se desarrolla en ZGAT.</t>
  </si>
  <si>
    <t>Máxima ayuda Ministerio si FEDER=80%</t>
  </si>
  <si>
    <t>Máxima ayuda posible si FEDER 80% ayuda</t>
  </si>
  <si>
    <t>% AYUDA/ Ayuda máxima posible</t>
  </si>
  <si>
    <t xml:space="preserve">Ayuda Fondos del Ministerio </t>
  </si>
  <si>
    <t>Ayuda Fondos del FEDER</t>
  </si>
  <si>
    <t>Puesto valoración por CCAA</t>
  </si>
  <si>
    <t>1º</t>
  </si>
  <si>
    <t>3º</t>
  </si>
  <si>
    <t>4º</t>
  </si>
  <si>
    <t>5º</t>
  </si>
  <si>
    <t>Castilla- La Mancha</t>
  </si>
  <si>
    <t>PROPUESTA 2: APOYO A DOS PROYECTOS POR CCAA AGOTANDO FONDOS MINISTERIO.</t>
  </si>
  <si>
    <t>PROPUESTA DE ASIGNACIÓN DE AYUDA</t>
  </si>
  <si>
    <t>PROPUESTA 1: APOYO A UN PROYECTO POR CCAA AGOTANDO FONDOS MINISTERIO.</t>
  </si>
  <si>
    <t>Zona de aparcamiento en la calle Juan Pablo II de Águilas.</t>
  </si>
  <si>
    <t>Solo se quita estudio de impacto fase II. 3000 € iva incluido.</t>
  </si>
  <si>
    <t xml:space="preserve">Presupuesto elegible </t>
  </si>
  <si>
    <t>SOLIC.</t>
  </si>
  <si>
    <t>Ayuda máxima (60% presupuesto elegible o importe solicitado) SIN IVA</t>
  </si>
  <si>
    <t>MAX</t>
  </si>
  <si>
    <t>AYUDA CONCEDIDA POR CCAA</t>
  </si>
  <si>
    <t>Presupuesto elegible sin IVA</t>
  </si>
  <si>
    <t>PROPUESTA DE REPARTO DE FONDOS (IVA NO INCLUIDO)</t>
  </si>
  <si>
    <t>Presupuesto  inversión  sin IVA</t>
  </si>
  <si>
    <t>* Solo se quita estudio de impacto fase II. 3000 € iva incluido.</t>
  </si>
  <si>
    <t>Plan Integral de innovación comercial y ecomarketing en mercados de abastos y áreas de comercio denso del centro de Ayamonte, Marbella, Málaga y Sevilla*.</t>
  </si>
  <si>
    <t>Región Murcia</t>
  </si>
  <si>
    <t>Proyecto</t>
  </si>
  <si>
    <t>Ayuntamiento Nerja</t>
  </si>
  <si>
    <t>Ayuntamiento de Toledo</t>
  </si>
  <si>
    <t>Ceuta</t>
  </si>
  <si>
    <t>Ayuntamiento Cartagena</t>
  </si>
  <si>
    <t>Ayuntamiento Vera</t>
  </si>
  <si>
    <t>Presupuesto 2015</t>
  </si>
  <si>
    <t>Puntuación</t>
  </si>
  <si>
    <t>Ayuda asignada</t>
  </si>
  <si>
    <t>Motivo exclusión</t>
  </si>
  <si>
    <t>Convocatoria publicada en BOE número 126 de 25 de mayo de 2016</t>
  </si>
  <si>
    <r>
      <rPr>
        <b/>
        <sz val="16"/>
        <color theme="1"/>
        <rFont val="Calibri"/>
        <family val="2"/>
      </rPr>
      <t>Fondo Europeo de Desarrollo Regional</t>
    </r>
    <r>
      <rPr>
        <b/>
        <sz val="16"/>
        <color theme="1"/>
        <rFont val="Verdana"/>
        <family val="2"/>
      </rPr>
      <t xml:space="preserve">  </t>
    </r>
    <r>
      <rPr>
        <b/>
        <sz val="16"/>
        <color theme="1"/>
        <rFont val="Arial"/>
        <family val="2"/>
      </rPr>
      <t>Una manera de hacer Europa</t>
    </r>
  </si>
  <si>
    <r>
      <rPr>
        <b/>
        <sz val="16"/>
        <color theme="1"/>
        <rFont val="Calibri"/>
        <family val="2"/>
        <scheme val="minor"/>
      </rPr>
      <t>Fondo Europeo de Desarrollo Regional</t>
    </r>
    <r>
      <rPr>
        <b/>
        <sz val="16"/>
        <color theme="1"/>
        <rFont val="Verdana"/>
        <family val="2"/>
      </rPr>
      <t xml:space="preserve">  </t>
    </r>
    <r>
      <rPr>
        <b/>
        <sz val="16"/>
        <color theme="1"/>
        <rFont val="Arial"/>
        <family val="2"/>
      </rPr>
      <t>Una manera de hacer Europa</t>
    </r>
  </si>
  <si>
    <t>PROYECTOS CON AYUDA ASIGNADA</t>
  </si>
  <si>
    <t>PROYECTOS CON VALORACIÓN OBTENIDA</t>
  </si>
  <si>
    <t xml:space="preserve">PROYECTOS EXCLUIDOS Y MOTIVO </t>
  </si>
  <si>
    <t xml:space="preserve">PROYECTOS RECIBIDOS </t>
  </si>
  <si>
    <r>
      <rPr>
        <b/>
        <sz val="16"/>
        <color theme="1"/>
        <rFont val="Calibri"/>
        <family val="2"/>
        <scheme val="minor"/>
      </rPr>
      <t xml:space="preserve">Fondo Europeo de Desarrollo Regional </t>
    </r>
    <r>
      <rPr>
        <b/>
        <sz val="16"/>
        <color theme="1"/>
        <rFont val="Verdana"/>
        <family val="2"/>
      </rPr>
      <t xml:space="preserve"> </t>
    </r>
    <r>
      <rPr>
        <b/>
        <sz val="16"/>
        <color theme="1"/>
        <rFont val="Arial"/>
        <family val="2"/>
      </rPr>
      <t>Una manera de hacer Europa</t>
    </r>
  </si>
  <si>
    <t>Ayuntamiento Almuñecar</t>
  </si>
  <si>
    <t>Instalación Mercado Municipal provisional</t>
  </si>
  <si>
    <t xml:space="preserve">Ayuntamiento Carboneras </t>
  </si>
  <si>
    <t>Dinamización de Espacios Comerciales: Mejora de Equipamiento Urbano y Señalética</t>
  </si>
  <si>
    <t>Ayuntamiento Lepe</t>
  </si>
  <si>
    <t>Modernización y puesta en valor de espacios comerciales en el núcleo turístico de la Antilla</t>
  </si>
  <si>
    <t>Ayuntamiento Marbella</t>
  </si>
  <si>
    <t>Dinamización Comercial del Centro Histórico</t>
  </si>
  <si>
    <t>Dinamización Comercial de la ZGAT de Nerja: Mejora de equipamiento urbano a través de la adquisición de toldos y bolardos</t>
  </si>
  <si>
    <t>Ayuntamiento Roquetas Mar</t>
  </si>
  <si>
    <t>Rehabilitación y adaptación del antiguo Mercado de Abastos</t>
  </si>
  <si>
    <t>Urbanización del Entorno del Mercado de Abastos: Plataforma peatonal, aparcamiento, mejoras transitabilidad, modernización instalaciones urbanas</t>
  </si>
  <si>
    <t>Proyecto de Adecuación y peatonalización del Centro Comercial Abierto en Vera. 2ª Fase</t>
  </si>
  <si>
    <t>Rehabilitación Zona Comercial: Ensanchamiento aceras, instalación alumbrado bajo consumo, mejora saneamiento</t>
  </si>
  <si>
    <t>Ayuntamiento Gijón</t>
  </si>
  <si>
    <t>Ayuntamiento D, Alaior</t>
  </si>
  <si>
    <t>Mejoras en áreas urbanas comerciales: Sustitución aceras y canalización de alumbrado público</t>
  </si>
  <si>
    <t>Ayuntamiento Mahón</t>
  </si>
  <si>
    <t>Rehabilitación y Mejoras en Mercado Municipal de Mahón</t>
  </si>
  <si>
    <t>Ayuntamiento San Sebástian de la Gomera</t>
  </si>
  <si>
    <t xml:space="preserve">Remodelación Integral del Mercado Municipal </t>
  </si>
  <si>
    <t>Mejora de alumbrado Campo Futbol</t>
  </si>
  <si>
    <t>Mejora de alumbrado público Via Ronda</t>
  </si>
  <si>
    <t>Mejora de alumbrado público Tecina</t>
  </si>
  <si>
    <t>Ayuntamiento San Cristobal de la Laguna</t>
  </si>
  <si>
    <t>Eficiencia energética: Mejora instalaciones y equipos de climatización del inmueble donde se ubica provisionalmente el Mercado Municipal</t>
  </si>
  <si>
    <t>Mejora accesibilidad y peatonalización calle Núñez de la Peña</t>
  </si>
  <si>
    <t>Instalaciones para la gestión de la movilidad en aparcamiento público: Puntos Recarga vehículos eléctricos e instalación de elementos de control y seguridad</t>
  </si>
  <si>
    <t>Ayuntamiento de Arnuero</t>
  </si>
  <si>
    <t>Mejora de la accesibilidad de la principal calle comercial (Isla)</t>
  </si>
  <si>
    <t xml:space="preserve">Mejora en Accesibilidad y renovación de pavimentos en la Calle Cuesta de Carlos V </t>
  </si>
  <si>
    <t>Ayuntamiento Besalú</t>
  </si>
  <si>
    <t>Modernización Comercial de las Zonas de Gran Afluebncia Turística y Comercial</t>
  </si>
  <si>
    <t>Ayuntamiento Figueras</t>
  </si>
  <si>
    <t xml:space="preserve">Dinamización comercial: Mejora transitabilidad en calle Monturiol en un tramo que conecta la Oficina de Turismo, la zona comercial y los nuevos equipamientos que deben dinamizar el turismo de la ciudad: Casa Natal y de Infancia de Dalí </t>
  </si>
  <si>
    <t>Ayuntamiento Puigcerda</t>
  </si>
  <si>
    <t>Dotación de plazas de aparcamiento</t>
  </si>
  <si>
    <t>Ayuntamiento Ripoll</t>
  </si>
  <si>
    <t>Urbanización de la Plaza Capranica y Acondicionamiento del Entorno</t>
  </si>
  <si>
    <t>Sociedad Púbica de Desarrollo de Ceuta (PROCESA)</t>
  </si>
  <si>
    <t>Eficiencia Energética: Sustitución Luminaria tradicional e instalación de elementos de señalización comercial</t>
  </si>
  <si>
    <t>Ayuntamiento El Molar</t>
  </si>
  <si>
    <t>Modernización de Espacios Comerciales: Eliminación barreras arquitectónicas, mejora pavimento, ajardinamiento e instalación de nuevos contenedores de residuos orgánicos</t>
  </si>
  <si>
    <t>Ayuntamiento Manzanares del Real</t>
  </si>
  <si>
    <t>Renovación de señalética y mejora y ampliación de zonas ajardinadas en zonas de concentración de una mayor número de visitantes</t>
  </si>
  <si>
    <t>Ayuntamiento Moralzarzal</t>
  </si>
  <si>
    <t xml:space="preserve">Si te gusta Moral compra en tu comercio Local: Instalación Bike Park y acondicionamiento parques </t>
  </si>
  <si>
    <t>Ayuntamiento Águilas</t>
  </si>
  <si>
    <t>Acondicionamiento Zona Comercial Centro Águilas: Mejora accesibilidad, transitabilidad peatonal y equipamiento urbano</t>
  </si>
  <si>
    <t>Ayuntamiento Archena</t>
  </si>
  <si>
    <t>Rehabilitación Mercado de Abastos de Archena</t>
  </si>
  <si>
    <t>Restauración Parcial Interior del Mercado Municipal de Santa Florentina</t>
  </si>
  <si>
    <t>Asturias</t>
  </si>
  <si>
    <t>Baleares</t>
  </si>
  <si>
    <t>Canarias</t>
  </si>
  <si>
    <t>Cantabria</t>
  </si>
  <si>
    <t>Cataluña</t>
  </si>
  <si>
    <t>Comunidad Madrid</t>
  </si>
  <si>
    <t>NO ELEGIBLE. TIPO ACTUACIÓN NO FINANCIABLE</t>
  </si>
  <si>
    <t>NO ELEGIBLE. INVERSIÓN INFERIOR A 50.000 €</t>
  </si>
  <si>
    <t>RENUNCIA PROMOTOR</t>
  </si>
  <si>
    <t>Presupuesto 2016</t>
  </si>
</sst>
</file>

<file path=xl/styles.xml><?xml version="1.0" encoding="utf-8"?>
<styleSheet xmlns="http://schemas.openxmlformats.org/spreadsheetml/2006/main">
  <numFmts count="9">
    <numFmt numFmtId="44" formatCode="_-* #,##0.00\ &quot;€&quot;_-;\-* #,##0.00\ &quot;€&quot;_-;_-* &quot;-&quot;??\ &quot;€&quot;_-;_-@_-"/>
    <numFmt numFmtId="164" formatCode="#,##0.00\ &quot;€&quot;"/>
    <numFmt numFmtId="165" formatCode="0.0"/>
    <numFmt numFmtId="166" formatCode="#,##0.0"/>
    <numFmt numFmtId="167" formatCode="0.0%"/>
    <numFmt numFmtId="168" formatCode="#,##0\ &quot;€&quot;"/>
    <numFmt numFmtId="169" formatCode="#,##0.00\ _€"/>
    <numFmt numFmtId="170" formatCode="_-* #,##0.00\ [$€-C0A]_-;\-* #,##0.00\ [$€-C0A]_-;_-* &quot;-&quot;??\ [$€-C0A]_-;_-@_-"/>
    <numFmt numFmtId="171" formatCode="0.0_ ;\-0.0\ "/>
  </numFmts>
  <fonts count="26">
    <font>
      <sz val="11"/>
      <color theme="1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2"/>
      <color theme="1"/>
      <name val="Verdana"/>
      <family val="2"/>
    </font>
    <font>
      <b/>
      <sz val="12"/>
      <color theme="4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b/>
      <sz val="11"/>
      <color rgb="FFFF0000"/>
      <name val="Verdana"/>
      <family val="2"/>
    </font>
    <font>
      <b/>
      <sz val="12"/>
      <color rgb="FFFF0000"/>
      <name val="Verdana"/>
      <family val="2"/>
    </font>
    <font>
      <b/>
      <sz val="20"/>
      <color theme="1"/>
      <name val="Verdana"/>
      <family val="2"/>
    </font>
    <font>
      <b/>
      <sz val="24"/>
      <color theme="1"/>
      <name val="Verdana"/>
      <family val="2"/>
    </font>
    <font>
      <b/>
      <sz val="18"/>
      <color theme="1"/>
      <name val="Verdana"/>
      <family val="2"/>
    </font>
    <font>
      <sz val="12"/>
      <color theme="1"/>
      <name val="Verdana"/>
      <family val="2"/>
    </font>
    <font>
      <b/>
      <sz val="16"/>
      <color theme="1"/>
      <name val="Verdana"/>
      <family val="2"/>
    </font>
    <font>
      <sz val="18"/>
      <color theme="1"/>
      <name val="Verdana"/>
      <family val="2"/>
    </font>
    <font>
      <b/>
      <sz val="22"/>
      <color theme="1"/>
      <name val="Verdana"/>
      <family val="2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20"/>
      <color theme="1"/>
      <name val="Verdana"/>
      <family val="2"/>
    </font>
    <font>
      <b/>
      <i/>
      <sz val="20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8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8" fillId="0" borderId="0" applyFont="0" applyFill="0" applyBorder="0" applyAlignment="0" applyProtection="0"/>
  </cellStyleXfs>
  <cellXfs count="488">
    <xf numFmtId="0" fontId="0" fillId="0" borderId="0" xfId="0"/>
    <xf numFmtId="0" fontId="2" fillId="0" borderId="0" xfId="0" applyFont="1"/>
    <xf numFmtId="49" fontId="1" fillId="0" borderId="1" xfId="0" applyNumberFormat="1" applyFont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wrapText="1"/>
    </xf>
    <xf numFmtId="0" fontId="2" fillId="0" borderId="4" xfId="0" applyFont="1" applyBorder="1" applyAlignment="1">
      <alignment horizontal="left" vertical="center" wrapText="1"/>
    </xf>
    <xf numFmtId="164" fontId="2" fillId="0" borderId="4" xfId="0" applyNumberFormat="1" applyFont="1" applyBorder="1" applyAlignment="1">
      <alignment horizontal="right" vertical="center"/>
    </xf>
    <xf numFmtId="0" fontId="2" fillId="0" borderId="6" xfId="0" applyFont="1" applyBorder="1" applyAlignment="1">
      <alignment horizontal="left" vertical="center" wrapText="1"/>
    </xf>
    <xf numFmtId="164" fontId="2" fillId="0" borderId="6" xfId="0" applyNumberFormat="1" applyFont="1" applyBorder="1" applyAlignment="1">
      <alignment horizontal="right" vertical="center"/>
    </xf>
    <xf numFmtId="0" fontId="2" fillId="0" borderId="8" xfId="0" applyFont="1" applyBorder="1" applyAlignment="1">
      <alignment horizontal="left" vertical="center" wrapText="1"/>
    </xf>
    <xf numFmtId="164" fontId="2" fillId="0" borderId="8" xfId="0" applyNumberFormat="1" applyFont="1" applyBorder="1" applyAlignment="1">
      <alignment horizontal="right" vertical="center"/>
    </xf>
    <xf numFmtId="0" fontId="2" fillId="0" borderId="5" xfId="0" applyFont="1" applyBorder="1" applyAlignment="1">
      <alignment horizontal="left" vertical="center" wrapText="1"/>
    </xf>
    <xf numFmtId="164" fontId="2" fillId="0" borderId="5" xfId="0" applyNumberFormat="1" applyFont="1" applyBorder="1" applyAlignment="1">
      <alignment horizontal="right" vertical="center"/>
    </xf>
    <xf numFmtId="0" fontId="1" fillId="0" borderId="5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3" borderId="17" xfId="0" applyFont="1" applyFill="1" applyBorder="1" applyAlignment="1">
      <alignment horizontal="left" vertical="center" wrapText="1"/>
    </xf>
    <xf numFmtId="49" fontId="1" fillId="4" borderId="7" xfId="0" applyNumberFormat="1" applyFont="1" applyFill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164" fontId="2" fillId="0" borderId="7" xfId="0" applyNumberFormat="1" applyFont="1" applyBorder="1" applyAlignment="1">
      <alignment horizontal="right" vertical="center"/>
    </xf>
    <xf numFmtId="49" fontId="1" fillId="4" borderId="21" xfId="0" applyNumberFormat="1" applyFont="1" applyFill="1" applyBorder="1" applyAlignment="1">
      <alignment horizontal="left" vertical="center" wrapText="1"/>
    </xf>
    <xf numFmtId="49" fontId="1" fillId="4" borderId="22" xfId="0" applyNumberFormat="1" applyFont="1" applyFill="1" applyBorder="1" applyAlignment="1">
      <alignment horizontal="left" vertical="center" wrapText="1"/>
    </xf>
    <xf numFmtId="49" fontId="1" fillId="4" borderId="23" xfId="0" applyNumberFormat="1" applyFont="1" applyFill="1" applyBorder="1" applyAlignment="1">
      <alignment horizontal="left" vertical="center" wrapText="1"/>
    </xf>
    <xf numFmtId="49" fontId="1" fillId="4" borderId="18" xfId="0" applyNumberFormat="1" applyFont="1" applyFill="1" applyBorder="1" applyAlignment="1">
      <alignment horizontal="left" vertical="center" wrapText="1"/>
    </xf>
    <xf numFmtId="0" fontId="1" fillId="0" borderId="24" xfId="0" applyFont="1" applyBorder="1" applyAlignment="1">
      <alignment horizontal="center" vertical="center" wrapText="1"/>
    </xf>
    <xf numFmtId="167" fontId="2" fillId="0" borderId="0" xfId="0" applyNumberFormat="1" applyFont="1"/>
    <xf numFmtId="167" fontId="1" fillId="0" borderId="5" xfId="0" applyNumberFormat="1" applyFont="1" applyBorder="1" applyAlignment="1">
      <alignment horizontal="center" vertical="center" wrapText="1"/>
    </xf>
    <xf numFmtId="167" fontId="2" fillId="0" borderId="6" xfId="0" applyNumberFormat="1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167" fontId="2" fillId="0" borderId="8" xfId="0" applyNumberFormat="1" applyFont="1" applyBorder="1" applyAlignment="1">
      <alignment horizontal="center" vertical="center"/>
    </xf>
    <xf numFmtId="167" fontId="2" fillId="0" borderId="5" xfId="0" applyNumberFormat="1" applyFont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vertical="center"/>
    </xf>
    <xf numFmtId="167" fontId="2" fillId="0" borderId="7" xfId="0" applyNumberFormat="1" applyFont="1" applyBorder="1" applyAlignment="1">
      <alignment horizontal="center" vertical="center"/>
    </xf>
    <xf numFmtId="164" fontId="1" fillId="2" borderId="25" xfId="0" applyNumberFormat="1" applyFont="1" applyFill="1" applyBorder="1" applyAlignment="1">
      <alignment horizontal="right" vertical="center"/>
    </xf>
    <xf numFmtId="164" fontId="1" fillId="2" borderId="26" xfId="0" applyNumberFormat="1" applyFont="1" applyFill="1" applyBorder="1" applyAlignment="1">
      <alignment horizontal="right" vertical="center"/>
    </xf>
    <xf numFmtId="164" fontId="1" fillId="2" borderId="27" xfId="0" applyNumberFormat="1" applyFont="1" applyFill="1" applyBorder="1" applyAlignment="1">
      <alignment horizontal="right" vertical="center"/>
    </xf>
    <xf numFmtId="164" fontId="1" fillId="2" borderId="24" xfId="0" applyNumberFormat="1" applyFont="1" applyFill="1" applyBorder="1" applyAlignment="1">
      <alignment horizontal="right" vertical="center"/>
    </xf>
    <xf numFmtId="164" fontId="1" fillId="2" borderId="28" xfId="0" applyNumberFormat="1" applyFont="1" applyFill="1" applyBorder="1" applyAlignment="1">
      <alignment horizontal="right" vertical="center"/>
    </xf>
    <xf numFmtId="164" fontId="1" fillId="2" borderId="29" xfId="0" applyNumberFormat="1" applyFont="1" applyFill="1" applyBorder="1" applyAlignment="1">
      <alignment horizontal="right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65" fontId="4" fillId="5" borderId="14" xfId="0" applyNumberFormat="1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166" fontId="4" fillId="0" borderId="14" xfId="0" applyNumberFormat="1" applyFont="1" applyBorder="1" applyAlignment="1">
      <alignment horizontal="center" vertical="center"/>
    </xf>
    <xf numFmtId="166" fontId="4" fillId="5" borderId="9" xfId="0" applyNumberFormat="1" applyFont="1" applyFill="1" applyBorder="1" applyAlignment="1">
      <alignment horizontal="center" vertical="center"/>
    </xf>
    <xf numFmtId="166" fontId="4" fillId="5" borderId="12" xfId="0" applyNumberFormat="1" applyFont="1" applyFill="1" applyBorder="1" applyAlignment="1">
      <alignment horizontal="center" vertical="center"/>
    </xf>
    <xf numFmtId="166" fontId="4" fillId="0" borderId="34" xfId="0" applyNumberFormat="1" applyFont="1" applyBorder="1" applyAlignment="1">
      <alignment horizontal="center" vertical="center"/>
    </xf>
    <xf numFmtId="3" fontId="2" fillId="0" borderId="0" xfId="0" applyNumberFormat="1" applyFont="1"/>
    <xf numFmtId="3" fontId="5" fillId="0" borderId="0" xfId="0" applyNumberFormat="1" applyFont="1" applyAlignment="1">
      <alignment horizontal="left"/>
    </xf>
    <xf numFmtId="3" fontId="7" fillId="0" borderId="20" xfId="0" applyNumberFormat="1" applyFont="1" applyFill="1" applyBorder="1" applyAlignment="1">
      <alignment horizontal="right" vertical="center"/>
    </xf>
    <xf numFmtId="3" fontId="8" fillId="0" borderId="20" xfId="0" applyNumberFormat="1" applyFont="1" applyFill="1" applyBorder="1" applyAlignment="1">
      <alignment horizontal="right" vertical="center"/>
    </xf>
    <xf numFmtId="3" fontId="8" fillId="0" borderId="17" xfId="0" applyNumberFormat="1" applyFont="1" applyFill="1" applyBorder="1" applyAlignment="1">
      <alignment horizontal="right" vertical="center"/>
    </xf>
    <xf numFmtId="3" fontId="8" fillId="0" borderId="35" xfId="0" applyNumberFormat="1" applyFont="1" applyFill="1" applyBorder="1" applyAlignment="1">
      <alignment horizontal="right" vertical="center"/>
    </xf>
    <xf numFmtId="3" fontId="8" fillId="0" borderId="36" xfId="0" applyNumberFormat="1" applyFont="1" applyFill="1" applyBorder="1" applyAlignment="1">
      <alignment horizontal="right" vertical="center"/>
    </xf>
    <xf numFmtId="3" fontId="7" fillId="0" borderId="35" xfId="0" applyNumberFormat="1" applyFont="1" applyFill="1" applyBorder="1" applyAlignment="1">
      <alignment horizontal="right" vertical="center"/>
    </xf>
    <xf numFmtId="3" fontId="7" fillId="0" borderId="37" xfId="0" applyNumberFormat="1" applyFont="1" applyFill="1" applyBorder="1" applyAlignment="1">
      <alignment horizontal="right" vertical="center"/>
    </xf>
    <xf numFmtId="3" fontId="7" fillId="0" borderId="36" xfId="0" applyNumberFormat="1" applyFont="1" applyFill="1" applyBorder="1" applyAlignment="1">
      <alignment horizontal="right" vertical="center"/>
    </xf>
    <xf numFmtId="3" fontId="6" fillId="0" borderId="18" xfId="0" applyNumberFormat="1" applyFont="1" applyBorder="1" applyAlignment="1">
      <alignment horizontal="left" vertical="center" wrapText="1"/>
    </xf>
    <xf numFmtId="3" fontId="7" fillId="0" borderId="1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left" vertical="center"/>
    </xf>
    <xf numFmtId="3" fontId="6" fillId="0" borderId="41" xfId="0" applyNumberFormat="1" applyFont="1" applyBorder="1" applyAlignment="1">
      <alignment horizontal="right" vertical="center"/>
    </xf>
    <xf numFmtId="3" fontId="6" fillId="0" borderId="16" xfId="0" applyNumberFormat="1" applyFont="1" applyBorder="1" applyAlignment="1">
      <alignment horizontal="right" vertical="center"/>
    </xf>
    <xf numFmtId="3" fontId="6" fillId="0" borderId="17" xfId="0" applyNumberFormat="1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3" fontId="6" fillId="0" borderId="41" xfId="0" applyNumberFormat="1" applyFont="1" applyBorder="1" applyAlignment="1">
      <alignment horizontal="center" vertical="center"/>
    </xf>
    <xf numFmtId="3" fontId="8" fillId="0" borderId="37" xfId="0" applyNumberFormat="1" applyFont="1" applyFill="1" applyBorder="1" applyAlignment="1">
      <alignment horizontal="right" vertical="center"/>
    </xf>
    <xf numFmtId="3" fontId="8" fillId="0" borderId="25" xfId="0" applyNumberFormat="1" applyFont="1" applyFill="1" applyBorder="1" applyAlignment="1">
      <alignment horizontal="right" vertical="center"/>
    </xf>
    <xf numFmtId="3" fontId="6" fillId="0" borderId="0" xfId="0" applyNumberFormat="1" applyFont="1" applyBorder="1" applyAlignment="1">
      <alignment horizontal="center"/>
    </xf>
    <xf numFmtId="3" fontId="8" fillId="2" borderId="17" xfId="0" applyNumberFormat="1" applyFont="1" applyFill="1" applyBorder="1" applyAlignment="1">
      <alignment horizontal="right" vertical="center"/>
    </xf>
    <xf numFmtId="3" fontId="8" fillId="2" borderId="35" xfId="0" applyNumberFormat="1" applyFont="1" applyFill="1" applyBorder="1" applyAlignment="1">
      <alignment horizontal="right" vertical="center"/>
    </xf>
    <xf numFmtId="3" fontId="8" fillId="2" borderId="20" xfId="0" applyNumberFormat="1" applyFont="1" applyFill="1" applyBorder="1" applyAlignment="1">
      <alignment horizontal="right" vertical="center"/>
    </xf>
    <xf numFmtId="3" fontId="8" fillId="6" borderId="20" xfId="0" applyNumberFormat="1" applyFont="1" applyFill="1" applyBorder="1" applyAlignment="1">
      <alignment horizontal="right" vertical="center"/>
    </xf>
    <xf numFmtId="3" fontId="8" fillId="0" borderId="26" xfId="0" applyNumberFormat="1" applyFont="1" applyFill="1" applyBorder="1" applyAlignment="1">
      <alignment horizontal="right" vertical="center"/>
    </xf>
    <xf numFmtId="3" fontId="8" fillId="6" borderId="35" xfId="0" applyNumberFormat="1" applyFont="1" applyFill="1" applyBorder="1" applyAlignment="1">
      <alignment horizontal="right" vertical="center"/>
    </xf>
    <xf numFmtId="3" fontId="8" fillId="8" borderId="37" xfId="0" applyNumberFormat="1" applyFont="1" applyFill="1" applyBorder="1" applyAlignment="1">
      <alignment horizontal="right" vertical="center"/>
    </xf>
    <xf numFmtId="3" fontId="8" fillId="8" borderId="35" xfId="0" applyNumberFormat="1" applyFont="1" applyFill="1" applyBorder="1" applyAlignment="1">
      <alignment horizontal="right" vertical="center"/>
    </xf>
    <xf numFmtId="164" fontId="2" fillId="6" borderId="1" xfId="0" applyNumberFormat="1" applyFont="1" applyFill="1" applyBorder="1" applyAlignment="1">
      <alignment horizontal="right" vertical="center"/>
    </xf>
    <xf numFmtId="3" fontId="8" fillId="2" borderId="36" xfId="0" applyNumberFormat="1" applyFont="1" applyFill="1" applyBorder="1" applyAlignment="1">
      <alignment horizontal="right" vertical="center"/>
    </xf>
    <xf numFmtId="164" fontId="2" fillId="6" borderId="7" xfId="0" applyNumberFormat="1" applyFont="1" applyFill="1" applyBorder="1" applyAlignment="1">
      <alignment horizontal="right" vertical="center"/>
    </xf>
    <xf numFmtId="3" fontId="5" fillId="0" borderId="0" xfId="0" applyNumberFormat="1" applyFont="1" applyAlignment="1">
      <alignment horizontal="right"/>
    </xf>
    <xf numFmtId="3" fontId="8" fillId="2" borderId="37" xfId="0" applyNumberFormat="1" applyFont="1" applyFill="1" applyBorder="1" applyAlignment="1">
      <alignment horizontal="right" vertical="center"/>
    </xf>
    <xf numFmtId="4" fontId="5" fillId="0" borderId="0" xfId="0" applyNumberFormat="1" applyFont="1" applyAlignment="1">
      <alignment horizontal="left"/>
    </xf>
    <xf numFmtId="3" fontId="7" fillId="2" borderId="37" xfId="0" applyNumberFormat="1" applyFont="1" applyFill="1" applyBorder="1" applyAlignment="1">
      <alignment horizontal="right" vertical="center"/>
    </xf>
    <xf numFmtId="3" fontId="7" fillId="2" borderId="36" xfId="0" applyNumberFormat="1" applyFont="1" applyFill="1" applyBorder="1" applyAlignment="1">
      <alignment horizontal="right" vertical="center"/>
    </xf>
    <xf numFmtId="164" fontId="9" fillId="2" borderId="26" xfId="0" applyNumberFormat="1" applyFont="1" applyFill="1" applyBorder="1" applyAlignment="1">
      <alignment horizontal="right" vertical="center"/>
    </xf>
    <xf numFmtId="164" fontId="9" fillId="2" borderId="24" xfId="0" applyNumberFormat="1" applyFont="1" applyFill="1" applyBorder="1" applyAlignment="1">
      <alignment horizontal="right" vertical="center"/>
    </xf>
    <xf numFmtId="3" fontId="8" fillId="8" borderId="20" xfId="0" applyNumberFormat="1" applyFont="1" applyFill="1" applyBorder="1" applyAlignment="1">
      <alignment horizontal="right" vertical="center"/>
    </xf>
    <xf numFmtId="3" fontId="8" fillId="7" borderId="20" xfId="0" applyNumberFormat="1" applyFont="1" applyFill="1" applyBorder="1" applyAlignment="1">
      <alignment horizontal="right" vertical="center"/>
    </xf>
    <xf numFmtId="3" fontId="8" fillId="7" borderId="35" xfId="0" applyNumberFormat="1" applyFont="1" applyFill="1" applyBorder="1" applyAlignment="1">
      <alignment horizontal="right" vertical="center"/>
    </xf>
    <xf numFmtId="3" fontId="8" fillId="10" borderId="17" xfId="0" applyNumberFormat="1" applyFont="1" applyFill="1" applyBorder="1" applyAlignment="1">
      <alignment horizontal="right" vertical="center"/>
    </xf>
    <xf numFmtId="3" fontId="8" fillId="10" borderId="36" xfId="0" applyNumberFormat="1" applyFont="1" applyFill="1" applyBorder="1" applyAlignment="1">
      <alignment horizontal="right" vertical="center"/>
    </xf>
    <xf numFmtId="3" fontId="8" fillId="10" borderId="35" xfId="0" applyNumberFormat="1" applyFont="1" applyFill="1" applyBorder="1" applyAlignment="1">
      <alignment horizontal="right" vertical="center"/>
    </xf>
    <xf numFmtId="3" fontId="8" fillId="10" borderId="37" xfId="0" applyNumberFormat="1" applyFont="1" applyFill="1" applyBorder="1" applyAlignment="1">
      <alignment horizontal="right" vertical="center"/>
    </xf>
    <xf numFmtId="3" fontId="8" fillId="0" borderId="27" xfId="0" applyNumberFormat="1" applyFont="1" applyFill="1" applyBorder="1" applyAlignment="1">
      <alignment horizontal="right" vertical="center"/>
    </xf>
    <xf numFmtId="3" fontId="8" fillId="8" borderId="43" xfId="0" applyNumberFormat="1" applyFont="1" applyFill="1" applyBorder="1" applyAlignment="1">
      <alignment horizontal="right" vertical="center"/>
    </xf>
    <xf numFmtId="164" fontId="2" fillId="0" borderId="0" xfId="0" applyNumberFormat="1" applyFont="1"/>
    <xf numFmtId="3" fontId="8" fillId="0" borderId="43" xfId="0" applyNumberFormat="1" applyFont="1" applyFill="1" applyBorder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left" vertical="center" wrapText="1"/>
    </xf>
    <xf numFmtId="3" fontId="6" fillId="0" borderId="18" xfId="0" applyNumberFormat="1" applyFont="1" applyBorder="1" applyAlignment="1">
      <alignment horizontal="center"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3" fontId="7" fillId="0" borderId="16" xfId="0" applyNumberFormat="1" applyFont="1" applyFill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/>
    </xf>
    <xf numFmtId="3" fontId="8" fillId="0" borderId="1" xfId="0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horizontal="right" vertical="center"/>
    </xf>
    <xf numFmtId="3" fontId="8" fillId="0" borderId="22" xfId="0" applyNumberFormat="1" applyFont="1" applyFill="1" applyBorder="1" applyAlignment="1">
      <alignment horizontal="right" vertical="center"/>
    </xf>
    <xf numFmtId="3" fontId="7" fillId="0" borderId="22" xfId="0" applyNumberFormat="1" applyFont="1" applyFill="1" applyBorder="1" applyAlignment="1">
      <alignment horizontal="right" vertical="center"/>
    </xf>
    <xf numFmtId="3" fontId="7" fillId="0" borderId="47" xfId="0" applyNumberFormat="1" applyFont="1" applyFill="1" applyBorder="1" applyAlignment="1">
      <alignment horizontal="right" vertical="center"/>
    </xf>
    <xf numFmtId="3" fontId="7" fillId="0" borderId="48" xfId="0" applyNumberFormat="1" applyFont="1" applyFill="1" applyBorder="1" applyAlignment="1">
      <alignment horizontal="right" vertical="center"/>
    </xf>
    <xf numFmtId="3" fontId="7" fillId="0" borderId="4" xfId="0" applyNumberFormat="1" applyFont="1" applyFill="1" applyBorder="1" applyAlignment="1">
      <alignment horizontal="right" vertical="center"/>
    </xf>
    <xf numFmtId="3" fontId="7" fillId="0" borderId="49" xfId="0" applyNumberFormat="1" applyFont="1" applyFill="1" applyBorder="1" applyAlignment="1">
      <alignment horizontal="right" vertical="center"/>
    </xf>
    <xf numFmtId="3" fontId="8" fillId="0" borderId="48" xfId="0" applyNumberFormat="1" applyFont="1" applyFill="1" applyBorder="1" applyAlignment="1">
      <alignment horizontal="right" vertical="center"/>
    </xf>
    <xf numFmtId="3" fontId="8" fillId="0" borderId="4" xfId="0" applyNumberFormat="1" applyFont="1" applyFill="1" applyBorder="1" applyAlignment="1">
      <alignment horizontal="right" vertical="center"/>
    </xf>
    <xf numFmtId="3" fontId="8" fillId="0" borderId="23" xfId="0" applyNumberFormat="1" applyFont="1" applyFill="1" applyBorder="1" applyAlignment="1">
      <alignment horizontal="right" vertical="center"/>
    </xf>
    <xf numFmtId="3" fontId="8" fillId="0" borderId="8" xfId="0" applyNumberFormat="1" applyFont="1" applyFill="1" applyBorder="1" applyAlignment="1">
      <alignment horizontal="right" vertical="center"/>
    </xf>
    <xf numFmtId="3" fontId="7" fillId="0" borderId="23" xfId="0" applyNumberFormat="1" applyFont="1" applyFill="1" applyBorder="1" applyAlignment="1">
      <alignment horizontal="right" vertical="center"/>
    </xf>
    <xf numFmtId="3" fontId="7" fillId="0" borderId="8" xfId="0" applyNumberFormat="1" applyFont="1" applyFill="1" applyBorder="1" applyAlignment="1">
      <alignment horizontal="right" vertical="center"/>
    </xf>
    <xf numFmtId="3" fontId="7" fillId="0" borderId="50" xfId="0" applyNumberFormat="1" applyFont="1" applyFill="1" applyBorder="1" applyAlignment="1">
      <alignment horizontal="right" vertical="center"/>
    </xf>
    <xf numFmtId="3" fontId="8" fillId="0" borderId="40" xfId="0" applyNumberFormat="1" applyFont="1" applyFill="1" applyBorder="1" applyAlignment="1">
      <alignment horizontal="right" vertical="center"/>
    </xf>
    <xf numFmtId="3" fontId="8" fillId="0" borderId="7" xfId="0" applyNumberFormat="1" applyFont="1" applyFill="1" applyBorder="1" applyAlignment="1">
      <alignment horizontal="right" vertical="center"/>
    </xf>
    <xf numFmtId="3" fontId="6" fillId="0" borderId="5" xfId="0" applyNumberFormat="1" applyFont="1" applyBorder="1" applyAlignment="1">
      <alignment horizontal="center" vertical="center" wrapText="1"/>
    </xf>
    <xf numFmtId="3" fontId="6" fillId="0" borderId="52" xfId="0" applyNumberFormat="1" applyFont="1" applyBorder="1" applyAlignment="1">
      <alignment horizontal="center" vertical="center" wrapText="1"/>
    </xf>
    <xf numFmtId="3" fontId="8" fillId="0" borderId="39" xfId="0" applyNumberFormat="1" applyFont="1" applyFill="1" applyBorder="1" applyAlignment="1">
      <alignment horizontal="right" vertical="center"/>
    </xf>
    <xf numFmtId="3" fontId="8" fillId="0" borderId="3" xfId="0" applyNumberFormat="1" applyFont="1" applyFill="1" applyBorder="1" applyAlignment="1">
      <alignment horizontal="right" vertical="center"/>
    </xf>
    <xf numFmtId="3" fontId="8" fillId="0" borderId="21" xfId="0" applyNumberFormat="1" applyFont="1" applyFill="1" applyBorder="1" applyAlignment="1">
      <alignment horizontal="right" vertical="center"/>
    </xf>
    <xf numFmtId="3" fontId="8" fillId="0" borderId="6" xfId="0" applyNumberFormat="1" applyFont="1" applyFill="1" applyBorder="1" applyAlignment="1">
      <alignment horizontal="right" vertical="center"/>
    </xf>
    <xf numFmtId="3" fontId="7" fillId="0" borderId="51" xfId="0" applyNumberFormat="1" applyFont="1" applyFill="1" applyBorder="1" applyAlignment="1">
      <alignment horizontal="right" vertical="center"/>
    </xf>
    <xf numFmtId="3" fontId="7" fillId="0" borderId="53" xfId="0" applyNumberFormat="1" applyFont="1" applyFill="1" applyBorder="1" applyAlignment="1">
      <alignment horizontal="right" vertical="center"/>
    </xf>
    <xf numFmtId="3" fontId="7" fillId="0" borderId="54" xfId="0" applyNumberFormat="1" applyFont="1" applyFill="1" applyBorder="1" applyAlignment="1">
      <alignment horizontal="right" vertical="center"/>
    </xf>
    <xf numFmtId="3" fontId="7" fillId="9" borderId="54" xfId="0" applyNumberFormat="1" applyFont="1" applyFill="1" applyBorder="1" applyAlignment="1">
      <alignment horizontal="right" vertical="center"/>
    </xf>
    <xf numFmtId="3" fontId="7" fillId="0" borderId="21" xfId="0" applyNumberFormat="1" applyFont="1" applyFill="1" applyBorder="1" applyAlignment="1">
      <alignment horizontal="right" vertical="center"/>
    </xf>
    <xf numFmtId="3" fontId="7" fillId="0" borderId="6" xfId="0" applyNumberFormat="1" applyFont="1" applyFill="1" applyBorder="1" applyAlignment="1">
      <alignment horizontal="right" vertical="center"/>
    </xf>
    <xf numFmtId="3" fontId="7" fillId="9" borderId="5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64" fontId="10" fillId="0" borderId="0" xfId="0" applyNumberFormat="1" applyFont="1"/>
    <xf numFmtId="3" fontId="1" fillId="9" borderId="16" xfId="0" applyNumberFormat="1" applyFont="1" applyFill="1" applyBorder="1"/>
    <xf numFmtId="3" fontId="1" fillId="9" borderId="17" xfId="0" applyNumberFormat="1" applyFont="1" applyFill="1" applyBorder="1"/>
    <xf numFmtId="3" fontId="1" fillId="9" borderId="41" xfId="0" applyNumberFormat="1" applyFont="1" applyFill="1" applyBorder="1"/>
    <xf numFmtId="4" fontId="2" fillId="0" borderId="0" xfId="0" applyNumberFormat="1" applyFont="1"/>
    <xf numFmtId="3" fontId="8" fillId="0" borderId="18" xfId="0" applyNumberFormat="1" applyFont="1" applyFill="1" applyBorder="1" applyAlignment="1">
      <alignment horizontal="right" vertical="center"/>
    </xf>
    <xf numFmtId="3" fontId="8" fillId="0" borderId="5" xfId="0" applyNumberFormat="1" applyFont="1" applyFill="1" applyBorder="1" applyAlignment="1">
      <alignment horizontal="right" vertical="center"/>
    </xf>
    <xf numFmtId="3" fontId="7" fillId="0" borderId="52" xfId="0" applyNumberFormat="1" applyFont="1" applyFill="1" applyBorder="1" applyAlignment="1">
      <alignment horizontal="right" vertical="center"/>
    </xf>
    <xf numFmtId="3" fontId="8" fillId="0" borderId="38" xfId="0" applyNumberFormat="1" applyFont="1" applyFill="1" applyBorder="1" applyAlignment="1">
      <alignment horizontal="right" vertical="center"/>
    </xf>
    <xf numFmtId="3" fontId="8" fillId="0" borderId="42" xfId="0" applyNumberFormat="1" applyFont="1" applyFill="1" applyBorder="1" applyAlignment="1">
      <alignment horizontal="right" vertical="center"/>
    </xf>
    <xf numFmtId="3" fontId="7" fillId="0" borderId="55" xfId="0" applyNumberFormat="1" applyFont="1" applyFill="1" applyBorder="1" applyAlignment="1">
      <alignment horizontal="right" vertical="center"/>
    </xf>
    <xf numFmtId="164" fontId="2" fillId="0" borderId="42" xfId="0" applyNumberFormat="1" applyFont="1" applyBorder="1" applyAlignment="1">
      <alignment horizontal="right" vertical="center"/>
    </xf>
    <xf numFmtId="164" fontId="2" fillId="0" borderId="47" xfId="0" applyNumberFormat="1" applyFont="1" applyBorder="1" applyAlignment="1">
      <alignment horizontal="right" vertical="center"/>
    </xf>
    <xf numFmtId="164" fontId="10" fillId="0" borderId="0" xfId="0" applyNumberFormat="1" applyFont="1" applyAlignment="1">
      <alignment vertical="center"/>
    </xf>
    <xf numFmtId="167" fontId="2" fillId="0" borderId="0" xfId="0" applyNumberFormat="1" applyFont="1" applyAlignment="1">
      <alignment horizontal="center" vertical="center"/>
    </xf>
    <xf numFmtId="3" fontId="1" fillId="9" borderId="16" xfId="0" applyNumberFormat="1" applyFont="1" applyFill="1" applyBorder="1" applyAlignment="1">
      <alignment vertical="center"/>
    </xf>
    <xf numFmtId="3" fontId="1" fillId="9" borderId="17" xfId="0" applyNumberFormat="1" applyFont="1" applyFill="1" applyBorder="1" applyAlignment="1">
      <alignment vertical="center"/>
    </xf>
    <xf numFmtId="3" fontId="1" fillId="9" borderId="41" xfId="0" applyNumberFormat="1" applyFont="1" applyFill="1" applyBorder="1" applyAlignment="1">
      <alignment vertical="center"/>
    </xf>
    <xf numFmtId="0" fontId="4" fillId="6" borderId="13" xfId="0" applyFont="1" applyFill="1" applyBorder="1" applyAlignment="1">
      <alignment horizontal="center" vertical="center"/>
    </xf>
    <xf numFmtId="166" fontId="4" fillId="6" borderId="12" xfId="0" applyNumberFormat="1" applyFont="1" applyFill="1" applyBorder="1" applyAlignment="1">
      <alignment horizontal="center" vertical="center"/>
    </xf>
    <xf numFmtId="164" fontId="7" fillId="0" borderId="50" xfId="0" applyNumberFormat="1" applyFont="1" applyFill="1" applyBorder="1" applyAlignment="1">
      <alignment horizontal="right" vertical="center"/>
    </xf>
    <xf numFmtId="164" fontId="7" fillId="0" borderId="23" xfId="0" applyNumberFormat="1" applyFont="1" applyFill="1" applyBorder="1" applyAlignment="1">
      <alignment horizontal="right" vertical="center"/>
    </xf>
    <xf numFmtId="164" fontId="7" fillId="0" borderId="8" xfId="0" applyNumberFormat="1" applyFont="1" applyFill="1" applyBorder="1" applyAlignment="1">
      <alignment horizontal="right" vertical="center"/>
    </xf>
    <xf numFmtId="164" fontId="8" fillId="0" borderId="44" xfId="0" applyNumberFormat="1" applyFont="1" applyFill="1" applyBorder="1" applyAlignment="1">
      <alignment horizontal="right" vertical="center"/>
    </xf>
    <xf numFmtId="164" fontId="8" fillId="0" borderId="19" xfId="0" applyNumberFormat="1" applyFont="1" applyFill="1" applyBorder="1" applyAlignment="1">
      <alignment horizontal="right" vertical="center"/>
    </xf>
    <xf numFmtId="164" fontId="7" fillId="0" borderId="56" xfId="0" applyNumberFormat="1" applyFont="1" applyFill="1" applyBorder="1" applyAlignment="1">
      <alignment horizontal="right" vertical="center"/>
    </xf>
    <xf numFmtId="164" fontId="8" fillId="0" borderId="45" xfId="0" applyNumberFormat="1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164" fontId="7" fillId="0" borderId="57" xfId="0" applyNumberFormat="1" applyFont="1" applyFill="1" applyBorder="1" applyAlignment="1">
      <alignment horizontal="right" vertical="center"/>
    </xf>
    <xf numFmtId="164" fontId="8" fillId="0" borderId="58" xfId="0" applyNumberFormat="1" applyFont="1" applyFill="1" applyBorder="1" applyAlignment="1">
      <alignment horizontal="right" vertical="center"/>
    </xf>
    <xf numFmtId="164" fontId="8" fillId="0" borderId="37" xfId="0" applyNumberFormat="1" applyFont="1" applyFill="1" applyBorder="1" applyAlignment="1">
      <alignment horizontal="right" vertical="center"/>
    </xf>
    <xf numFmtId="164" fontId="7" fillId="0" borderId="59" xfId="0" applyNumberFormat="1" applyFont="1" applyFill="1" applyBorder="1" applyAlignment="1">
      <alignment horizontal="right" vertical="center"/>
    </xf>
    <xf numFmtId="164" fontId="8" fillId="0" borderId="60" xfId="0" applyNumberFormat="1" applyFont="1" applyFill="1" applyBorder="1" applyAlignment="1">
      <alignment horizontal="right" vertical="center"/>
    </xf>
    <xf numFmtId="164" fontId="7" fillId="0" borderId="61" xfId="0" applyNumberFormat="1" applyFont="1" applyFill="1" applyBorder="1" applyAlignment="1">
      <alignment horizontal="right" vertical="center"/>
    </xf>
    <xf numFmtId="164" fontId="8" fillId="0" borderId="43" xfId="0" applyNumberFormat="1" applyFont="1" applyFill="1" applyBorder="1" applyAlignment="1">
      <alignment horizontal="right" vertical="center"/>
    </xf>
    <xf numFmtId="166" fontId="4" fillId="11" borderId="9" xfId="0" applyNumberFormat="1" applyFont="1" applyFill="1" applyBorder="1" applyAlignment="1">
      <alignment horizontal="center" vertical="center"/>
    </xf>
    <xf numFmtId="164" fontId="7" fillId="0" borderId="62" xfId="0" applyNumberFormat="1" applyFont="1" applyFill="1" applyBorder="1" applyAlignment="1">
      <alignment horizontal="right" vertical="center"/>
    </xf>
    <xf numFmtId="164" fontId="7" fillId="0" borderId="63" xfId="0" applyNumberFormat="1" applyFont="1" applyFill="1" applyBorder="1" applyAlignment="1">
      <alignment horizontal="right" vertical="center"/>
    </xf>
    <xf numFmtId="164" fontId="7" fillId="0" borderId="64" xfId="0" applyNumberFormat="1" applyFont="1" applyFill="1" applyBorder="1" applyAlignment="1">
      <alignment horizontal="right" vertical="center"/>
    </xf>
    <xf numFmtId="164" fontId="7" fillId="0" borderId="45" xfId="0" applyNumberFormat="1" applyFont="1" applyFill="1" applyBorder="1" applyAlignment="1">
      <alignment horizontal="right" vertical="center"/>
    </xf>
    <xf numFmtId="164" fontId="7" fillId="0" borderId="0" xfId="0" applyNumberFormat="1" applyFont="1" applyFill="1" applyBorder="1" applyAlignment="1">
      <alignment horizontal="right" vertical="center"/>
    </xf>
    <xf numFmtId="164" fontId="7" fillId="0" borderId="46" xfId="0" applyNumberFormat="1" applyFont="1" applyFill="1" applyBorder="1" applyAlignment="1">
      <alignment horizontal="right" vertical="center"/>
    </xf>
    <xf numFmtId="164" fontId="7" fillId="0" borderId="20" xfId="0" applyNumberFormat="1" applyFont="1" applyFill="1" applyBorder="1" applyAlignment="1">
      <alignment horizontal="right" vertical="center"/>
    </xf>
    <xf numFmtId="164" fontId="7" fillId="0" borderId="65" xfId="0" applyNumberFormat="1" applyFont="1" applyFill="1" applyBorder="1" applyAlignment="1">
      <alignment horizontal="right" vertical="center"/>
    </xf>
    <xf numFmtId="164" fontId="7" fillId="0" borderId="66" xfId="0" applyNumberFormat="1" applyFont="1" applyFill="1" applyBorder="1" applyAlignment="1">
      <alignment horizontal="right" vertical="center"/>
    </xf>
    <xf numFmtId="164" fontId="7" fillId="0" borderId="35" xfId="0" applyNumberFormat="1" applyFont="1" applyFill="1" applyBorder="1" applyAlignment="1">
      <alignment horizontal="right" vertical="center"/>
    </xf>
    <xf numFmtId="165" fontId="4" fillId="11" borderId="14" xfId="0" applyNumberFormat="1" applyFont="1" applyFill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3" fillId="11" borderId="9" xfId="0" applyFont="1" applyFill="1" applyBorder="1" applyAlignment="1">
      <alignment horizontal="left" vertical="center" wrapText="1"/>
    </xf>
    <xf numFmtId="0" fontId="1" fillId="8" borderId="13" xfId="0" applyFont="1" applyFill="1" applyBorder="1" applyAlignment="1">
      <alignment horizontal="center" vertical="center"/>
    </xf>
    <xf numFmtId="49" fontId="1" fillId="8" borderId="22" xfId="0" applyNumberFormat="1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164" fontId="2" fillId="8" borderId="1" xfId="0" applyNumberFormat="1" applyFont="1" applyFill="1" applyBorder="1" applyAlignment="1">
      <alignment horizontal="right" vertical="center"/>
    </xf>
    <xf numFmtId="164" fontId="2" fillId="8" borderId="47" xfId="0" applyNumberFormat="1" applyFont="1" applyFill="1" applyBorder="1" applyAlignment="1">
      <alignment horizontal="right" vertical="center"/>
    </xf>
    <xf numFmtId="164" fontId="8" fillId="8" borderId="22" xfId="0" applyNumberFormat="1" applyFont="1" applyFill="1" applyBorder="1" applyAlignment="1">
      <alignment horizontal="right" vertical="center"/>
    </xf>
    <xf numFmtId="164" fontId="8" fillId="8" borderId="1" xfId="0" applyNumberFormat="1" applyFont="1" applyFill="1" applyBorder="1" applyAlignment="1">
      <alignment horizontal="right" vertical="center"/>
    </xf>
    <xf numFmtId="164" fontId="7" fillId="8" borderId="47" xfId="0" applyNumberFormat="1" applyFont="1" applyFill="1" applyBorder="1" applyAlignment="1">
      <alignment horizontal="right" vertical="center"/>
    </xf>
    <xf numFmtId="164" fontId="8" fillId="8" borderId="23" xfId="0" applyNumberFormat="1" applyFont="1" applyFill="1" applyBorder="1" applyAlignment="1">
      <alignment horizontal="right" vertical="center"/>
    </xf>
    <xf numFmtId="164" fontId="8" fillId="8" borderId="8" xfId="0" applyNumberFormat="1" applyFont="1" applyFill="1" applyBorder="1" applyAlignment="1">
      <alignment horizontal="right" vertical="center"/>
    </xf>
    <xf numFmtId="164" fontId="7" fillId="8" borderId="50" xfId="0" applyNumberFormat="1" applyFont="1" applyFill="1" applyBorder="1" applyAlignment="1">
      <alignment horizontal="right" vertical="center"/>
    </xf>
    <xf numFmtId="0" fontId="1" fillId="8" borderId="9" xfId="0" applyFont="1" applyFill="1" applyBorder="1" applyAlignment="1">
      <alignment horizontal="center" vertical="center"/>
    </xf>
    <xf numFmtId="49" fontId="1" fillId="8" borderId="18" xfId="0" applyNumberFormat="1" applyFont="1" applyFill="1" applyBorder="1" applyAlignment="1">
      <alignment horizontal="left" vertical="center" wrapText="1"/>
    </xf>
    <xf numFmtId="0" fontId="2" fillId="8" borderId="5" xfId="0" applyFont="1" applyFill="1" applyBorder="1" applyAlignment="1">
      <alignment horizontal="left" vertical="center" wrapText="1"/>
    </xf>
    <xf numFmtId="164" fontId="2" fillId="8" borderId="5" xfId="0" applyNumberFormat="1" applyFont="1" applyFill="1" applyBorder="1" applyAlignment="1">
      <alignment horizontal="right" vertical="center"/>
    </xf>
    <xf numFmtId="0" fontId="1" fillId="8" borderId="14" xfId="0" applyFont="1" applyFill="1" applyBorder="1" applyAlignment="1">
      <alignment horizontal="center" vertical="center"/>
    </xf>
    <xf numFmtId="49" fontId="1" fillId="8" borderId="23" xfId="0" applyNumberFormat="1" applyFont="1" applyFill="1" applyBorder="1" applyAlignment="1">
      <alignment horizontal="left" vertical="center" wrapText="1"/>
    </xf>
    <xf numFmtId="0" fontId="2" fillId="8" borderId="8" xfId="0" applyFont="1" applyFill="1" applyBorder="1" applyAlignment="1">
      <alignment horizontal="left" vertical="center" wrapText="1"/>
    </xf>
    <xf numFmtId="164" fontId="2" fillId="8" borderId="4" xfId="0" applyNumberFormat="1" applyFont="1" applyFill="1" applyBorder="1" applyAlignment="1">
      <alignment horizontal="right" vertical="center"/>
    </xf>
    <xf numFmtId="164" fontId="8" fillId="8" borderId="48" xfId="0" applyNumberFormat="1" applyFont="1" applyFill="1" applyBorder="1" applyAlignment="1">
      <alignment horizontal="right" vertical="center"/>
    </xf>
    <xf numFmtId="164" fontId="8" fillId="8" borderId="4" xfId="0" applyNumberFormat="1" applyFont="1" applyFill="1" applyBorder="1" applyAlignment="1">
      <alignment horizontal="right" vertical="center"/>
    </xf>
    <xf numFmtId="0" fontId="4" fillId="8" borderId="14" xfId="0" applyFont="1" applyFill="1" applyBorder="1" applyAlignment="1">
      <alignment horizontal="center" vertical="center"/>
    </xf>
    <xf numFmtId="0" fontId="4" fillId="8" borderId="9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168" fontId="7" fillId="0" borderId="18" xfId="0" applyNumberFormat="1" applyFont="1" applyFill="1" applyBorder="1" applyAlignment="1">
      <alignment horizontal="center" vertical="center"/>
    </xf>
    <xf numFmtId="164" fontId="8" fillId="8" borderId="21" xfId="0" applyNumberFormat="1" applyFont="1" applyFill="1" applyBorder="1" applyAlignment="1">
      <alignment horizontal="right" vertical="center"/>
    </xf>
    <xf numFmtId="164" fontId="8" fillId="8" borderId="6" xfId="0" applyNumberFormat="1" applyFont="1" applyFill="1" applyBorder="1" applyAlignment="1">
      <alignment horizontal="right" vertical="center"/>
    </xf>
    <xf numFmtId="164" fontId="7" fillId="8" borderId="54" xfId="0" applyNumberFormat="1" applyFont="1" applyFill="1" applyBorder="1" applyAlignment="1">
      <alignment horizontal="right" vertical="center"/>
    </xf>
    <xf numFmtId="0" fontId="4" fillId="8" borderId="12" xfId="0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horizontal="center" vertical="center"/>
    </xf>
    <xf numFmtId="49" fontId="1" fillId="8" borderId="21" xfId="0" applyNumberFormat="1" applyFont="1" applyFill="1" applyBorder="1" applyAlignment="1">
      <alignment horizontal="left" vertical="center" wrapText="1"/>
    </xf>
    <xf numFmtId="0" fontId="2" fillId="8" borderId="6" xfId="0" applyFont="1" applyFill="1" applyBorder="1" applyAlignment="1">
      <alignment horizontal="left" vertical="center" wrapText="1"/>
    </xf>
    <xf numFmtId="164" fontId="2" fillId="8" borderId="6" xfId="0" applyNumberFormat="1" applyFont="1" applyFill="1" applyBorder="1" applyAlignment="1">
      <alignment horizontal="right" vertical="center"/>
    </xf>
    <xf numFmtId="166" fontId="4" fillId="8" borderId="1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16" xfId="0" applyFont="1" applyBorder="1" applyAlignment="1">
      <alignment horizontal="left" vertical="center" wrapText="1"/>
    </xf>
    <xf numFmtId="164" fontId="1" fillId="0" borderId="41" xfId="0" applyNumberFormat="1" applyFont="1" applyBorder="1" applyAlignment="1">
      <alignment horizontal="right" vertical="center"/>
    </xf>
    <xf numFmtId="164" fontId="1" fillId="0" borderId="5" xfId="0" applyNumberFormat="1" applyFont="1" applyBorder="1" applyAlignment="1">
      <alignment horizontal="right" vertical="center"/>
    </xf>
    <xf numFmtId="0" fontId="11" fillId="0" borderId="0" xfId="0" applyFont="1" applyAlignment="1">
      <alignment vertical="center"/>
    </xf>
    <xf numFmtId="164" fontId="1" fillId="0" borderId="0" xfId="0" applyNumberFormat="1" applyFont="1" applyBorder="1" applyAlignment="1">
      <alignment horizontal="right" vertical="center"/>
    </xf>
    <xf numFmtId="164" fontId="2" fillId="0" borderId="26" xfId="0" applyNumberFormat="1" applyFont="1" applyBorder="1" applyAlignment="1">
      <alignment horizontal="right" vertical="center"/>
    </xf>
    <xf numFmtId="0" fontId="1" fillId="0" borderId="66" xfId="0" applyFont="1" applyBorder="1" applyAlignment="1">
      <alignment horizontal="center" vertical="center"/>
    </xf>
    <xf numFmtId="0" fontId="1" fillId="0" borderId="70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left" vertical="center" wrapText="1"/>
    </xf>
    <xf numFmtId="164" fontId="2" fillId="0" borderId="41" xfId="0" applyNumberFormat="1" applyFont="1" applyBorder="1" applyAlignment="1">
      <alignment horizontal="center" vertical="center" wrapText="1"/>
    </xf>
    <xf numFmtId="164" fontId="2" fillId="0" borderId="56" xfId="0" applyNumberFormat="1" applyFont="1" applyBorder="1" applyAlignment="1">
      <alignment horizontal="center" vertical="center"/>
    </xf>
    <xf numFmtId="164" fontId="2" fillId="0" borderId="47" xfId="0" applyNumberFormat="1" applyFont="1" applyBorder="1" applyAlignment="1">
      <alignment horizontal="center" vertical="center"/>
    </xf>
    <xf numFmtId="164" fontId="2" fillId="0" borderId="57" xfId="0" applyNumberFormat="1" applyFont="1" applyBorder="1" applyAlignment="1">
      <alignment horizontal="center" vertical="center" wrapText="1"/>
    </xf>
    <xf numFmtId="164" fontId="2" fillId="0" borderId="41" xfId="0" applyNumberFormat="1" applyFont="1" applyBorder="1" applyAlignment="1">
      <alignment horizontal="center" vertical="center"/>
    </xf>
    <xf numFmtId="164" fontId="2" fillId="0" borderId="71" xfId="0" applyNumberFormat="1" applyFont="1" applyBorder="1" applyAlignment="1">
      <alignment horizontal="center" vertical="center"/>
    </xf>
    <xf numFmtId="164" fontId="2" fillId="0" borderId="67" xfId="0" applyNumberFormat="1" applyFont="1" applyBorder="1" applyAlignment="1">
      <alignment horizontal="center" vertical="center"/>
    </xf>
    <xf numFmtId="164" fontId="2" fillId="0" borderId="61" xfId="0" applyNumberFormat="1" applyFont="1" applyBorder="1" applyAlignment="1">
      <alignment horizontal="center" vertical="center"/>
    </xf>
    <xf numFmtId="164" fontId="2" fillId="0" borderId="65" xfId="0" applyNumberFormat="1" applyFont="1" applyBorder="1" applyAlignment="1">
      <alignment horizontal="center" vertical="center" wrapText="1"/>
    </xf>
    <xf numFmtId="164" fontId="2" fillId="0" borderId="71" xfId="0" applyNumberFormat="1" applyFont="1" applyBorder="1" applyAlignment="1">
      <alignment horizontal="center" vertical="center" wrapText="1"/>
    </xf>
    <xf numFmtId="164" fontId="2" fillId="0" borderId="59" xfId="0" applyNumberFormat="1" applyFont="1" applyBorder="1" applyAlignment="1">
      <alignment horizontal="center" vertical="center" wrapText="1"/>
    </xf>
    <xf numFmtId="164" fontId="2" fillId="0" borderId="54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3" fontId="7" fillId="0" borderId="38" xfId="0" applyNumberFormat="1" applyFont="1" applyFill="1" applyBorder="1" applyAlignment="1">
      <alignment horizontal="center" vertical="center"/>
    </xf>
    <xf numFmtId="3" fontId="7" fillId="0" borderId="44" xfId="0" applyNumberFormat="1" applyFont="1" applyFill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/>
    </xf>
    <xf numFmtId="3" fontId="6" fillId="0" borderId="16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164" fontId="2" fillId="8" borderId="8" xfId="0" applyNumberFormat="1" applyFont="1" applyFill="1" applyBorder="1" applyAlignment="1">
      <alignment horizontal="right" vertical="center"/>
    </xf>
    <xf numFmtId="165" fontId="4" fillId="8" borderId="14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49" fontId="1" fillId="0" borderId="22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right" vertical="center"/>
    </xf>
    <xf numFmtId="164" fontId="2" fillId="0" borderId="47" xfId="0" applyNumberFormat="1" applyFont="1" applyFill="1" applyBorder="1" applyAlignment="1">
      <alignment horizontal="right" vertical="center"/>
    </xf>
    <xf numFmtId="0" fontId="4" fillId="0" borderId="13" xfId="0" applyFont="1" applyFill="1" applyBorder="1" applyAlignment="1">
      <alignment horizontal="center" vertical="center"/>
    </xf>
    <xf numFmtId="166" fontId="4" fillId="11" borderId="68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68" fontId="1" fillId="9" borderId="16" xfId="0" applyNumberFormat="1" applyFont="1" applyFill="1" applyBorder="1" applyAlignment="1">
      <alignment vertical="center"/>
    </xf>
    <xf numFmtId="168" fontId="1" fillId="9" borderId="17" xfId="0" applyNumberFormat="1" applyFont="1" applyFill="1" applyBorder="1" applyAlignment="1">
      <alignment vertical="center"/>
    </xf>
    <xf numFmtId="168" fontId="1" fillId="9" borderId="41" xfId="0" applyNumberFormat="1" applyFont="1" applyFill="1" applyBorder="1" applyAlignment="1">
      <alignment vertical="center"/>
    </xf>
    <xf numFmtId="0" fontId="1" fillId="0" borderId="40" xfId="0" applyFont="1" applyBorder="1" applyAlignment="1">
      <alignment vertical="center"/>
    </xf>
    <xf numFmtId="164" fontId="1" fillId="0" borderId="7" xfId="0" applyNumberFormat="1" applyFont="1" applyBorder="1" applyAlignment="1">
      <alignment horizontal="right" vertical="center"/>
    </xf>
    <xf numFmtId="167" fontId="1" fillId="0" borderId="7" xfId="0" applyNumberFormat="1" applyFont="1" applyBorder="1" applyAlignment="1">
      <alignment horizontal="center" vertical="center"/>
    </xf>
    <xf numFmtId="9" fontId="1" fillId="0" borderId="51" xfId="0" applyNumberFormat="1" applyFont="1" applyBorder="1" applyAlignment="1">
      <alignment horizontal="center" vertical="center"/>
    </xf>
    <xf numFmtId="164" fontId="8" fillId="8" borderId="40" xfId="0" applyNumberFormat="1" applyFont="1" applyFill="1" applyBorder="1" applyAlignment="1">
      <alignment horizontal="right" vertical="center"/>
    </xf>
    <xf numFmtId="164" fontId="8" fillId="8" borderId="7" xfId="0" applyNumberFormat="1" applyFont="1" applyFill="1" applyBorder="1" applyAlignment="1">
      <alignment horizontal="right" vertical="center"/>
    </xf>
    <xf numFmtId="164" fontId="7" fillId="8" borderId="51" xfId="0" applyNumberFormat="1" applyFont="1" applyFill="1" applyBorder="1" applyAlignment="1">
      <alignment horizontal="right" vertical="center"/>
    </xf>
    <xf numFmtId="9" fontId="2" fillId="0" borderId="0" xfId="0" applyNumberFormat="1" applyFont="1"/>
    <xf numFmtId="0" fontId="1" fillId="12" borderId="18" xfId="0" applyFont="1" applyFill="1" applyBorder="1" applyAlignment="1">
      <alignment vertical="center"/>
    </xf>
    <xf numFmtId="164" fontId="1" fillId="12" borderId="5" xfId="0" applyNumberFormat="1" applyFont="1" applyFill="1" applyBorder="1" applyAlignment="1">
      <alignment horizontal="right" vertical="center"/>
    </xf>
    <xf numFmtId="164" fontId="1" fillId="12" borderId="52" xfId="0" applyNumberFormat="1" applyFont="1" applyFill="1" applyBorder="1" applyAlignment="1">
      <alignment horizontal="right" vertical="center"/>
    </xf>
    <xf numFmtId="164" fontId="7" fillId="8" borderId="49" xfId="0" applyNumberFormat="1" applyFont="1" applyFill="1" applyBorder="1" applyAlignment="1">
      <alignment horizontal="right" vertical="center"/>
    </xf>
    <xf numFmtId="164" fontId="7" fillId="0" borderId="58" xfId="0" applyNumberFormat="1" applyFont="1" applyFill="1" applyBorder="1" applyAlignment="1">
      <alignment horizontal="right" vertical="center"/>
    </xf>
    <xf numFmtId="164" fontId="7" fillId="0" borderId="37" xfId="0" applyNumberFormat="1" applyFont="1" applyFill="1" applyBorder="1" applyAlignment="1">
      <alignment horizontal="right" vertical="center"/>
    </xf>
    <xf numFmtId="166" fontId="4" fillId="8" borderId="34" xfId="0" applyNumberFormat="1" applyFont="1" applyFill="1" applyBorder="1" applyAlignment="1">
      <alignment horizontal="center" vertical="center"/>
    </xf>
    <xf numFmtId="166" fontId="4" fillId="8" borderId="14" xfId="0" applyNumberFormat="1" applyFont="1" applyFill="1" applyBorder="1" applyAlignment="1">
      <alignment horizontal="center" vertical="center"/>
    </xf>
    <xf numFmtId="164" fontId="1" fillId="9" borderId="16" xfId="0" applyNumberFormat="1" applyFont="1" applyFill="1" applyBorder="1" applyAlignment="1">
      <alignment vertical="center"/>
    </xf>
    <xf numFmtId="164" fontId="1" fillId="9" borderId="17" xfId="0" applyNumberFormat="1" applyFont="1" applyFill="1" applyBorder="1" applyAlignment="1">
      <alignment vertical="center"/>
    </xf>
    <xf numFmtId="164" fontId="1" fillId="9" borderId="41" xfId="0" applyNumberFormat="1" applyFont="1" applyFill="1" applyBorder="1" applyAlignment="1">
      <alignment vertical="center"/>
    </xf>
    <xf numFmtId="0" fontId="4" fillId="0" borderId="68" xfId="0" applyFont="1" applyBorder="1" applyAlignment="1">
      <alignment horizontal="center" vertical="center"/>
    </xf>
    <xf numFmtId="0" fontId="4" fillId="0" borderId="69" xfId="0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167" fontId="3" fillId="8" borderId="13" xfId="0" applyNumberFormat="1" applyFont="1" applyFill="1" applyBorder="1" applyAlignment="1">
      <alignment horizontal="center" vertical="center"/>
    </xf>
    <xf numFmtId="167" fontId="3" fillId="8" borderId="15" xfId="0" applyNumberFormat="1" applyFont="1" applyFill="1" applyBorder="1" applyAlignment="1">
      <alignment horizontal="center" vertical="center"/>
    </xf>
    <xf numFmtId="167" fontId="3" fillId="8" borderId="14" xfId="0" applyNumberFormat="1" applyFont="1" applyFill="1" applyBorder="1" applyAlignment="1">
      <alignment horizontal="center" vertical="center"/>
    </xf>
    <xf numFmtId="167" fontId="3" fillId="8" borderId="72" xfId="0" applyNumberFormat="1" applyFont="1" applyFill="1" applyBorder="1" applyAlignment="1">
      <alignment horizontal="center" vertical="center"/>
    </xf>
    <xf numFmtId="167" fontId="3" fillId="8" borderId="9" xfId="0" applyNumberFormat="1" applyFont="1" applyFill="1" applyBorder="1" applyAlignment="1">
      <alignment horizontal="center" vertical="center"/>
    </xf>
    <xf numFmtId="167" fontId="3" fillId="0" borderId="13" xfId="0" applyNumberFormat="1" applyFont="1" applyFill="1" applyBorder="1" applyAlignment="1">
      <alignment horizontal="center" vertical="center"/>
    </xf>
    <xf numFmtId="167" fontId="3" fillId="0" borderId="15" xfId="0" applyNumberFormat="1" applyFont="1" applyFill="1" applyBorder="1" applyAlignment="1">
      <alignment horizontal="center" vertical="center"/>
    </xf>
    <xf numFmtId="167" fontId="3" fillId="0" borderId="34" xfId="0" applyNumberFormat="1" applyFont="1" applyFill="1" applyBorder="1" applyAlignment="1">
      <alignment horizontal="center" vertical="center"/>
    </xf>
    <xf numFmtId="0" fontId="1" fillId="11" borderId="14" xfId="0" applyFont="1" applyFill="1" applyBorder="1" applyAlignment="1">
      <alignment horizontal="center" vertical="center"/>
    </xf>
    <xf numFmtId="49" fontId="1" fillId="11" borderId="23" xfId="0" applyNumberFormat="1" applyFont="1" applyFill="1" applyBorder="1" applyAlignment="1">
      <alignment horizontal="left" vertical="center" wrapText="1"/>
    </xf>
    <xf numFmtId="0" fontId="2" fillId="11" borderId="8" xfId="0" applyFont="1" applyFill="1" applyBorder="1" applyAlignment="1">
      <alignment horizontal="left" vertical="center" wrapText="1"/>
    </xf>
    <xf numFmtId="164" fontId="2" fillId="11" borderId="8" xfId="0" applyNumberFormat="1" applyFont="1" applyFill="1" applyBorder="1" applyAlignment="1">
      <alignment horizontal="right" vertical="center"/>
    </xf>
    <xf numFmtId="166" fontId="4" fillId="11" borderId="14" xfId="0" applyNumberFormat="1" applyFont="1" applyFill="1" applyBorder="1" applyAlignment="1">
      <alignment horizontal="center" vertical="center"/>
    </xf>
    <xf numFmtId="49" fontId="1" fillId="8" borderId="7" xfId="0" applyNumberFormat="1" applyFont="1" applyFill="1" applyBorder="1" applyAlignment="1">
      <alignment horizontal="left" vertical="center" wrapText="1"/>
    </xf>
    <xf numFmtId="0" fontId="2" fillId="8" borderId="7" xfId="0" applyFont="1" applyFill="1" applyBorder="1" applyAlignment="1">
      <alignment horizontal="left" vertical="center" wrapText="1"/>
    </xf>
    <xf numFmtId="164" fontId="2" fillId="8" borderId="7" xfId="0" applyNumberFormat="1" applyFont="1" applyFill="1" applyBorder="1" applyAlignment="1">
      <alignment horizontal="right" vertical="center"/>
    </xf>
    <xf numFmtId="3" fontId="7" fillId="0" borderId="38" xfId="0" applyNumberFormat="1" applyFont="1" applyFill="1" applyBorder="1" applyAlignment="1">
      <alignment horizontal="center" vertical="center"/>
    </xf>
    <xf numFmtId="3" fontId="7" fillId="0" borderId="44" xfId="0" applyNumberFormat="1" applyFont="1" applyFill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/>
    </xf>
    <xf numFmtId="3" fontId="6" fillId="0" borderId="16" xfId="0" applyNumberFormat="1" applyFont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center" wrapText="1"/>
    </xf>
    <xf numFmtId="0" fontId="4" fillId="8" borderId="15" xfId="0" applyFont="1" applyFill="1" applyBorder="1" applyAlignment="1">
      <alignment horizontal="center" vertical="center"/>
    </xf>
    <xf numFmtId="164" fontId="8" fillId="8" borderId="66" xfId="0" applyNumberFormat="1" applyFont="1" applyFill="1" applyBorder="1" applyAlignment="1">
      <alignment horizontal="right" vertical="center"/>
    </xf>
    <xf numFmtId="167" fontId="3" fillId="8" borderId="34" xfId="0" applyNumberFormat="1" applyFont="1" applyFill="1" applyBorder="1" applyAlignment="1">
      <alignment horizontal="center" vertical="center"/>
    </xf>
    <xf numFmtId="167" fontId="3" fillId="8" borderId="12" xfId="0" applyNumberFormat="1" applyFont="1" applyFill="1" applyBorder="1" applyAlignment="1">
      <alignment horizontal="center" vertical="center"/>
    </xf>
    <xf numFmtId="167" fontId="3" fillId="0" borderId="72" xfId="0" applyNumberFormat="1" applyFont="1" applyFill="1" applyBorder="1" applyAlignment="1">
      <alignment horizontal="center" vertical="center"/>
    </xf>
    <xf numFmtId="167" fontId="3" fillId="0" borderId="12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167" fontId="3" fillId="0" borderId="69" xfId="0" applyNumberFormat="1" applyFont="1" applyFill="1" applyBorder="1" applyAlignment="1">
      <alignment horizontal="center" vertical="center"/>
    </xf>
    <xf numFmtId="165" fontId="3" fillId="8" borderId="14" xfId="0" applyNumberFormat="1" applyFont="1" applyFill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166" fontId="14" fillId="11" borderId="14" xfId="0" applyNumberFormat="1" applyFont="1" applyFill="1" applyBorder="1" applyAlignment="1">
      <alignment horizontal="center" vertical="center"/>
    </xf>
    <xf numFmtId="166" fontId="14" fillId="0" borderId="34" xfId="0" applyNumberFormat="1" applyFont="1" applyBorder="1" applyAlignment="1">
      <alignment horizontal="center" vertical="center"/>
    </xf>
    <xf numFmtId="166" fontId="14" fillId="11" borderId="68" xfId="0" applyNumberFormat="1" applyFont="1" applyFill="1" applyBorder="1" applyAlignment="1">
      <alignment horizontal="center" vertical="center"/>
    </xf>
    <xf numFmtId="0" fontId="3" fillId="8" borderId="14" xfId="0" applyFont="1" applyFill="1" applyBorder="1" applyAlignment="1">
      <alignment horizontal="center" vertical="center"/>
    </xf>
    <xf numFmtId="0" fontId="3" fillId="8" borderId="9" xfId="0" applyFont="1" applyFill="1" applyBorder="1" applyAlignment="1">
      <alignment horizontal="center" vertical="center"/>
    </xf>
    <xf numFmtId="0" fontId="3" fillId="8" borderId="12" xfId="0" applyFont="1" applyFill="1" applyBorder="1" applyAlignment="1">
      <alignment horizontal="center" vertical="center"/>
    </xf>
    <xf numFmtId="166" fontId="3" fillId="8" borderId="12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2" fillId="0" borderId="0" xfId="0" applyFont="1" applyBorder="1"/>
    <xf numFmtId="0" fontId="1" fillId="0" borderId="0" xfId="0" applyFont="1" applyFill="1" applyBorder="1" applyAlignment="1">
      <alignment vertical="center"/>
    </xf>
    <xf numFmtId="0" fontId="14" fillId="8" borderId="13" xfId="0" applyFont="1" applyFill="1" applyBorder="1" applyAlignment="1">
      <alignment horizontal="center" vertical="center"/>
    </xf>
    <xf numFmtId="0" fontId="14" fillId="8" borderId="15" xfId="0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left" vertical="center" wrapText="1"/>
    </xf>
    <xf numFmtId="49" fontId="1" fillId="0" borderId="7" xfId="0" applyNumberFormat="1" applyFont="1" applyFill="1" applyBorder="1" applyAlignment="1">
      <alignment horizontal="left" vertical="center" wrapText="1"/>
    </xf>
    <xf numFmtId="49" fontId="1" fillId="0" borderId="18" xfId="0" applyNumberFormat="1" applyFont="1" applyFill="1" applyBorder="1" applyAlignment="1">
      <alignment horizontal="left" vertical="center" wrapText="1"/>
    </xf>
    <xf numFmtId="166" fontId="14" fillId="8" borderId="14" xfId="0" applyNumberFormat="1" applyFont="1" applyFill="1" applyBorder="1" applyAlignment="1">
      <alignment horizontal="center" vertical="center"/>
    </xf>
    <xf numFmtId="166" fontId="14" fillId="8" borderId="34" xfId="0" applyNumberFormat="1" applyFont="1" applyFill="1" applyBorder="1" applyAlignment="1">
      <alignment horizontal="center" vertical="center"/>
    </xf>
    <xf numFmtId="3" fontId="7" fillId="0" borderId="38" xfId="0" applyNumberFormat="1" applyFont="1" applyFill="1" applyBorder="1" applyAlignment="1">
      <alignment horizontal="center" vertical="center"/>
    </xf>
    <xf numFmtId="3" fontId="7" fillId="0" borderId="44" xfId="0" applyNumberFormat="1" applyFont="1" applyFill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/>
    </xf>
    <xf numFmtId="3" fontId="6" fillId="0" borderId="16" xfId="0" applyNumberFormat="1" applyFont="1" applyBorder="1" applyAlignment="1">
      <alignment horizontal="center" vertical="center" wrapText="1"/>
    </xf>
    <xf numFmtId="169" fontId="1" fillId="9" borderId="16" xfId="0" applyNumberFormat="1" applyFont="1" applyFill="1" applyBorder="1" applyAlignment="1">
      <alignment horizontal="right" vertical="center"/>
    </xf>
    <xf numFmtId="169" fontId="1" fillId="9" borderId="17" xfId="0" applyNumberFormat="1" applyFont="1" applyFill="1" applyBorder="1" applyAlignment="1">
      <alignment horizontal="right" vertical="center"/>
    </xf>
    <xf numFmtId="169" fontId="1" fillId="9" borderId="41" xfId="0" applyNumberFormat="1" applyFont="1" applyFill="1" applyBorder="1" applyAlignment="1">
      <alignment horizontal="right" vertical="center"/>
    </xf>
    <xf numFmtId="3" fontId="5" fillId="0" borderId="0" xfId="0" applyNumberFormat="1" applyFont="1" applyAlignment="1">
      <alignment horizontal="right" vertical="center"/>
    </xf>
    <xf numFmtId="169" fontId="1" fillId="12" borderId="5" xfId="0" applyNumberFormat="1" applyFont="1" applyFill="1" applyBorder="1" applyAlignment="1">
      <alignment vertical="center"/>
    </xf>
    <xf numFmtId="169" fontId="1" fillId="12" borderId="52" xfId="0" applyNumberFormat="1" applyFont="1" applyFill="1" applyBorder="1" applyAlignment="1">
      <alignment vertical="center"/>
    </xf>
    <xf numFmtId="3" fontId="6" fillId="0" borderId="0" xfId="0" applyNumberFormat="1" applyFont="1" applyBorder="1" applyAlignment="1">
      <alignment horizontal="center"/>
    </xf>
    <xf numFmtId="3" fontId="7" fillId="0" borderId="38" xfId="0" applyNumberFormat="1" applyFont="1" applyFill="1" applyBorder="1" applyAlignment="1">
      <alignment horizontal="center" vertical="center"/>
    </xf>
    <xf numFmtId="3" fontId="7" fillId="0" borderId="44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 wrapText="1"/>
    </xf>
    <xf numFmtId="49" fontId="1" fillId="11" borderId="21" xfId="0" applyNumberFormat="1" applyFont="1" applyFill="1" applyBorder="1" applyAlignment="1">
      <alignment horizontal="left" vertical="center" wrapText="1"/>
    </xf>
    <xf numFmtId="0" fontId="2" fillId="11" borderId="6" xfId="0" applyFont="1" applyFill="1" applyBorder="1" applyAlignment="1">
      <alignment horizontal="left" vertical="center" wrapText="1"/>
    </xf>
    <xf numFmtId="164" fontId="2" fillId="11" borderId="6" xfId="0" applyNumberFormat="1" applyFont="1" applyFill="1" applyBorder="1" applyAlignment="1">
      <alignment horizontal="right" vertical="center"/>
    </xf>
    <xf numFmtId="166" fontId="4" fillId="11" borderId="12" xfId="0" applyNumberFormat="1" applyFont="1" applyFill="1" applyBorder="1" applyAlignment="1">
      <alignment horizontal="center" vertical="center"/>
    </xf>
    <xf numFmtId="166" fontId="14" fillId="11" borderId="12" xfId="0" applyNumberFormat="1" applyFont="1" applyFill="1" applyBorder="1" applyAlignment="1">
      <alignment horizontal="center" vertical="center"/>
    </xf>
    <xf numFmtId="164" fontId="8" fillId="11" borderId="21" xfId="0" applyNumberFormat="1" applyFont="1" applyFill="1" applyBorder="1" applyAlignment="1">
      <alignment horizontal="right" vertical="center"/>
    </xf>
    <xf numFmtId="164" fontId="8" fillId="11" borderId="6" xfId="0" applyNumberFormat="1" applyFont="1" applyFill="1" applyBorder="1" applyAlignment="1">
      <alignment horizontal="right" vertical="center"/>
    </xf>
    <xf numFmtId="164" fontId="7" fillId="11" borderId="54" xfId="0" applyNumberFormat="1" applyFont="1" applyFill="1" applyBorder="1" applyAlignment="1">
      <alignment horizontal="right" vertical="center"/>
    </xf>
    <xf numFmtId="167" fontId="3" fillId="11" borderId="15" xfId="0" applyNumberFormat="1" applyFont="1" applyFill="1" applyBorder="1" applyAlignment="1">
      <alignment horizontal="center" vertical="center"/>
    </xf>
    <xf numFmtId="0" fontId="1" fillId="11" borderId="12" xfId="0" applyFont="1" applyFill="1" applyBorder="1" applyAlignment="1">
      <alignment horizontal="center" vertical="center"/>
    </xf>
    <xf numFmtId="166" fontId="3" fillId="8" borderId="15" xfId="0" applyNumberFormat="1" applyFont="1" applyFill="1" applyBorder="1" applyAlignment="1">
      <alignment horizontal="center" vertical="center"/>
    </xf>
    <xf numFmtId="166" fontId="3" fillId="8" borderId="14" xfId="0" applyNumberFormat="1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4" fontId="2" fillId="0" borderId="0" xfId="0" applyNumberFormat="1" applyFont="1" applyAlignment="1">
      <alignment vertical="center" wrapText="1"/>
    </xf>
    <xf numFmtId="9" fontId="2" fillId="0" borderId="0" xfId="0" applyNumberFormat="1" applyFont="1" applyAlignment="1">
      <alignment horizontal="center"/>
    </xf>
    <xf numFmtId="9" fontId="1" fillId="0" borderId="0" xfId="0" applyNumberFormat="1" applyFont="1" applyAlignment="1">
      <alignment horizontal="center" vertical="center"/>
    </xf>
    <xf numFmtId="164" fontId="2" fillId="11" borderId="42" xfId="0" applyNumberFormat="1" applyFont="1" applyFill="1" applyBorder="1" applyAlignment="1">
      <alignment horizontal="right" vertical="center"/>
    </xf>
    <xf numFmtId="9" fontId="2" fillId="11" borderId="19" xfId="0" applyNumberFormat="1" applyFont="1" applyFill="1" applyBorder="1" applyAlignment="1">
      <alignment horizontal="center" vertical="center"/>
    </xf>
    <xf numFmtId="164" fontId="2" fillId="11" borderId="4" xfId="0" applyNumberFormat="1" applyFont="1" applyFill="1" applyBorder="1" applyAlignment="1">
      <alignment horizontal="right" vertical="center"/>
    </xf>
    <xf numFmtId="164" fontId="2" fillId="11" borderId="1" xfId="0" applyNumberFormat="1" applyFont="1" applyFill="1" applyBorder="1" applyAlignment="1">
      <alignment horizontal="right" vertical="center"/>
    </xf>
    <xf numFmtId="9" fontId="2" fillId="11" borderId="67" xfId="0" applyNumberFormat="1" applyFont="1" applyFill="1" applyBorder="1" applyAlignment="1">
      <alignment horizontal="center" vertical="center"/>
    </xf>
    <xf numFmtId="164" fontId="2" fillId="11" borderId="5" xfId="0" applyNumberFormat="1" applyFont="1" applyFill="1" applyBorder="1" applyAlignment="1">
      <alignment horizontal="right" vertical="center"/>
    </xf>
    <xf numFmtId="9" fontId="2" fillId="11" borderId="36" xfId="0" applyNumberFormat="1" applyFont="1" applyFill="1" applyBorder="1" applyAlignment="1">
      <alignment horizontal="center" vertical="center"/>
    </xf>
    <xf numFmtId="9" fontId="2" fillId="11" borderId="54" xfId="0" applyNumberFormat="1" applyFont="1" applyFill="1" applyBorder="1" applyAlignment="1">
      <alignment horizontal="center" vertical="center"/>
    </xf>
    <xf numFmtId="9" fontId="2" fillId="11" borderId="20" xfId="0" applyNumberFormat="1" applyFont="1" applyFill="1" applyBorder="1" applyAlignment="1">
      <alignment horizontal="center" vertical="center"/>
    </xf>
    <xf numFmtId="9" fontId="2" fillId="8" borderId="67" xfId="0" applyNumberFormat="1" applyFont="1" applyFill="1" applyBorder="1" applyAlignment="1">
      <alignment horizontal="center" vertical="center"/>
    </xf>
    <xf numFmtId="9" fontId="2" fillId="8" borderId="0" xfId="0" applyNumberFormat="1" applyFont="1" applyFill="1" applyBorder="1" applyAlignment="1">
      <alignment horizontal="center" vertical="center"/>
    </xf>
    <xf numFmtId="9" fontId="2" fillId="8" borderId="17" xfId="0" applyNumberFormat="1" applyFont="1" applyFill="1" applyBorder="1" applyAlignment="1">
      <alignment horizontal="center" vertical="center"/>
    </xf>
    <xf numFmtId="9" fontId="2" fillId="8" borderId="37" xfId="0" applyNumberFormat="1" applyFont="1" applyFill="1" applyBorder="1" applyAlignment="1">
      <alignment horizontal="center" vertical="center"/>
    </xf>
    <xf numFmtId="9" fontId="2" fillId="8" borderId="35" xfId="0" applyNumberFormat="1" applyFont="1" applyFill="1" applyBorder="1" applyAlignment="1">
      <alignment horizontal="center" vertical="center"/>
    </xf>
    <xf numFmtId="9" fontId="2" fillId="8" borderId="43" xfId="0" applyNumberFormat="1" applyFont="1" applyFill="1" applyBorder="1" applyAlignment="1">
      <alignment horizontal="center" vertical="center"/>
    </xf>
    <xf numFmtId="9" fontId="2" fillId="8" borderId="50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170" fontId="16" fillId="0" borderId="1" xfId="1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71" fontId="16" fillId="0" borderId="1" xfId="1" applyNumberFormat="1" applyFont="1" applyFill="1" applyBorder="1" applyAlignment="1">
      <alignment horizontal="center" vertical="center"/>
    </xf>
    <xf numFmtId="0" fontId="2" fillId="0" borderId="0" xfId="0" applyFont="1" applyBorder="1" applyAlignment="1"/>
    <xf numFmtId="0" fontId="2" fillId="0" borderId="0" xfId="0" applyFont="1" applyFill="1" applyAlignment="1"/>
    <xf numFmtId="0" fontId="2" fillId="0" borderId="0" xfId="0" applyFont="1" applyAlignment="1"/>
    <xf numFmtId="0" fontId="2" fillId="0" borderId="0" xfId="0" applyFont="1" applyFill="1" applyBorder="1" applyAlignment="1"/>
    <xf numFmtId="0" fontId="19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13" fillId="0" borderId="2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170" fontId="13" fillId="0" borderId="1" xfId="1" applyNumberFormat="1" applyFont="1" applyFill="1" applyBorder="1" applyAlignment="1">
      <alignment horizontal="center" vertical="center"/>
    </xf>
    <xf numFmtId="171" fontId="13" fillId="0" borderId="1" xfId="1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3" borderId="44" xfId="0" applyFont="1" applyFill="1" applyBorder="1" applyAlignment="1">
      <alignment horizontal="left" vertical="center" wrapText="1"/>
    </xf>
    <xf numFmtId="0" fontId="1" fillId="3" borderId="40" xfId="0" applyFont="1" applyFill="1" applyBorder="1" applyAlignment="1">
      <alignment horizontal="left" vertical="center" wrapText="1"/>
    </xf>
    <xf numFmtId="3" fontId="7" fillId="0" borderId="38" xfId="0" applyNumberFormat="1" applyFont="1" applyFill="1" applyBorder="1" applyAlignment="1">
      <alignment horizontal="center" vertical="center"/>
    </xf>
    <xf numFmtId="3" fontId="7" fillId="0" borderId="40" xfId="0" applyNumberFormat="1" applyFont="1" applyFill="1" applyBorder="1" applyAlignment="1">
      <alignment horizontal="center" vertical="center"/>
    </xf>
    <xf numFmtId="3" fontId="7" fillId="0" borderId="44" xfId="0" applyNumberFormat="1" applyFont="1" applyFill="1" applyBorder="1" applyAlignment="1">
      <alignment horizontal="center" vertical="center"/>
    </xf>
    <xf numFmtId="3" fontId="7" fillId="0" borderId="46" xfId="0" applyNumberFormat="1" applyFont="1" applyFill="1" applyBorder="1" applyAlignment="1">
      <alignment horizontal="center" vertical="center"/>
    </xf>
    <xf numFmtId="0" fontId="1" fillId="3" borderId="46" xfId="0" applyFont="1" applyFill="1" applyBorder="1" applyAlignment="1">
      <alignment horizontal="left" vertical="center" wrapText="1"/>
    </xf>
    <xf numFmtId="0" fontId="1" fillId="3" borderId="45" xfId="0" applyFont="1" applyFill="1" applyBorder="1" applyAlignment="1">
      <alignment horizontal="left" vertical="center" wrapText="1"/>
    </xf>
    <xf numFmtId="3" fontId="7" fillId="0" borderId="39" xfId="0" applyNumberFormat="1" applyFont="1" applyFill="1" applyBorder="1" applyAlignment="1">
      <alignment horizontal="center" vertical="center"/>
    </xf>
    <xf numFmtId="3" fontId="7" fillId="0" borderId="45" xfId="0" applyNumberFormat="1" applyFont="1" applyFill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41" xfId="0" applyNumberFormat="1" applyFont="1" applyBorder="1" applyAlignment="1">
      <alignment horizontal="center" vertical="center"/>
    </xf>
    <xf numFmtId="164" fontId="8" fillId="0" borderId="44" xfId="0" applyNumberFormat="1" applyFont="1" applyFill="1" applyBorder="1" applyAlignment="1">
      <alignment horizontal="center" vertical="center" wrapText="1"/>
    </xf>
    <xf numFmtId="164" fontId="8" fillId="0" borderId="19" xfId="0" applyNumberFormat="1" applyFont="1" applyFill="1" applyBorder="1" applyAlignment="1">
      <alignment horizontal="center" vertical="center" wrapText="1"/>
    </xf>
    <xf numFmtId="164" fontId="8" fillId="0" borderId="56" xfId="0" applyNumberFormat="1" applyFont="1" applyFill="1" applyBorder="1" applyAlignment="1">
      <alignment horizontal="center" vertical="center" wrapText="1"/>
    </xf>
    <xf numFmtId="0" fontId="3" fillId="11" borderId="68" xfId="0" applyFont="1" applyFill="1" applyBorder="1" applyAlignment="1">
      <alignment horizontal="left" vertical="center" wrapText="1"/>
    </xf>
    <xf numFmtId="0" fontId="3" fillId="11" borderId="34" xfId="0" applyFont="1" applyFill="1" applyBorder="1" applyAlignment="1">
      <alignment horizontal="left" vertical="center" wrapText="1"/>
    </xf>
    <xf numFmtId="168" fontId="7" fillId="0" borderId="38" xfId="0" applyNumberFormat="1" applyFont="1" applyFill="1" applyBorder="1" applyAlignment="1">
      <alignment horizontal="center" vertical="center"/>
    </xf>
    <xf numFmtId="168" fontId="7" fillId="0" borderId="40" xfId="0" applyNumberFormat="1" applyFont="1" applyFill="1" applyBorder="1" applyAlignment="1">
      <alignment horizontal="center" vertical="center"/>
    </xf>
    <xf numFmtId="0" fontId="3" fillId="11" borderId="69" xfId="0" applyFont="1" applyFill="1" applyBorder="1" applyAlignment="1">
      <alignment horizontal="left" vertical="center" wrapText="1"/>
    </xf>
    <xf numFmtId="168" fontId="7" fillId="0" borderId="39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3" fontId="7" fillId="8" borderId="38" xfId="0" applyNumberFormat="1" applyFont="1" applyFill="1" applyBorder="1" applyAlignment="1">
      <alignment horizontal="center" vertical="center"/>
    </xf>
    <xf numFmtId="3" fontId="7" fillId="8" borderId="40" xfId="0" applyNumberFormat="1" applyFont="1" applyFill="1" applyBorder="1" applyAlignment="1">
      <alignment horizontal="center" vertical="center"/>
    </xf>
    <xf numFmtId="3" fontId="7" fillId="8" borderId="44" xfId="0" applyNumberFormat="1" applyFont="1" applyFill="1" applyBorder="1" applyAlignment="1">
      <alignment horizontal="center" vertical="center"/>
    </xf>
    <xf numFmtId="3" fontId="7" fillId="8" borderId="46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4" fontId="2" fillId="0" borderId="0" xfId="0" applyNumberFormat="1" applyFont="1" applyAlignment="1">
      <alignment horizontal="left" vertical="center" wrapText="1"/>
    </xf>
    <xf numFmtId="3" fontId="6" fillId="0" borderId="20" xfId="0" applyNumberFormat="1" applyFont="1" applyBorder="1" applyAlignment="1">
      <alignment horizontal="center"/>
    </xf>
    <xf numFmtId="0" fontId="1" fillId="3" borderId="19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left" vertical="center" wrapText="1"/>
    </xf>
    <xf numFmtId="0" fontId="1" fillId="3" borderId="20" xfId="0" applyFont="1" applyFill="1" applyBorder="1" applyAlignment="1">
      <alignment horizontal="left" vertical="center" wrapText="1"/>
    </xf>
    <xf numFmtId="0" fontId="1" fillId="3" borderId="10" xfId="0" applyFont="1" applyFill="1" applyBorder="1" applyAlignment="1">
      <alignment horizontal="left" vertical="center" wrapText="1"/>
    </xf>
    <xf numFmtId="164" fontId="8" fillId="0" borderId="16" xfId="0" applyNumberFormat="1" applyFont="1" applyFill="1" applyBorder="1" applyAlignment="1">
      <alignment horizontal="center" vertical="center" wrapText="1"/>
    </xf>
    <xf numFmtId="164" fontId="8" fillId="0" borderId="17" xfId="0" applyNumberFormat="1" applyFont="1" applyFill="1" applyBorder="1" applyAlignment="1">
      <alignment horizontal="center" vertical="center" wrapText="1"/>
    </xf>
    <xf numFmtId="164" fontId="8" fillId="0" borderId="41" xfId="0" applyNumberFormat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20" fillId="13" borderId="1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right" vertical="center"/>
    </xf>
    <xf numFmtId="0" fontId="17" fillId="0" borderId="37" xfId="0" applyFont="1" applyBorder="1" applyAlignment="1">
      <alignment horizontal="right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 wrapText="1"/>
    </xf>
    <xf numFmtId="0" fontId="21" fillId="13" borderId="1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right" vertical="center"/>
    </xf>
    <xf numFmtId="0" fontId="13" fillId="0" borderId="1" xfId="0" applyFont="1" applyFill="1" applyBorder="1" applyAlignment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2081892</xdr:colOff>
      <xdr:row>21</xdr:row>
      <xdr:rowOff>204106</xdr:rowOff>
    </xdr:from>
    <xdr:to>
      <xdr:col>7</xdr:col>
      <xdr:colOff>795291</xdr:colOff>
      <xdr:row>24</xdr:row>
      <xdr:rowOff>136070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41321" y="12042320"/>
          <a:ext cx="8374470" cy="8300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4638675</xdr:colOff>
      <xdr:row>0</xdr:row>
      <xdr:rowOff>323850</xdr:rowOff>
    </xdr:from>
    <xdr:to>
      <xdr:col>2</xdr:col>
      <xdr:colOff>9264650</xdr:colOff>
      <xdr:row>0</xdr:row>
      <xdr:rowOff>1146175</xdr:rowOff>
    </xdr:to>
    <xdr:grpSp>
      <xdr:nvGrpSpPr>
        <xdr:cNvPr id="8194" name="Group 2"/>
        <xdr:cNvGrpSpPr>
          <a:grpSpLocks/>
        </xdr:cNvGrpSpPr>
      </xdr:nvGrpSpPr>
      <xdr:grpSpPr bwMode="auto">
        <a:xfrm>
          <a:off x="12068175" y="323850"/>
          <a:ext cx="4625975" cy="822325"/>
          <a:chOff x="2502" y="510"/>
          <a:chExt cx="7279" cy="1295"/>
        </a:xfrm>
      </xdr:grpSpPr>
      <xdr:pic>
        <xdr:nvPicPr>
          <xdr:cNvPr id="8195" name="Picture 3" descr="LOGO INSTITUCIONAL CON S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402" y="783"/>
            <a:ext cx="3129" cy="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196" name="Imagen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7859" y="761"/>
            <a:ext cx="1922" cy="5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197" name="Picture 5" descr="Logotipo UE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502" y="510"/>
            <a:ext cx="1531" cy="12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7318375</xdr:colOff>
      <xdr:row>0</xdr:row>
      <xdr:rowOff>317500</xdr:rowOff>
    </xdr:from>
    <xdr:to>
      <xdr:col>3</xdr:col>
      <xdr:colOff>1974850</xdr:colOff>
      <xdr:row>0</xdr:row>
      <xdr:rowOff>1139825</xdr:rowOff>
    </xdr:to>
    <xdr:grpSp>
      <xdr:nvGrpSpPr>
        <xdr:cNvPr id="6" name="Group 2"/>
        <xdr:cNvGrpSpPr>
          <a:grpSpLocks/>
        </xdr:cNvGrpSpPr>
      </xdr:nvGrpSpPr>
      <xdr:grpSpPr bwMode="auto">
        <a:xfrm>
          <a:off x="15261463" y="307975"/>
          <a:ext cx="4961382" cy="795274"/>
          <a:chOff x="2502" y="510"/>
          <a:chExt cx="7279" cy="1295"/>
        </a:xfrm>
      </xdr:grpSpPr>
      <xdr:pic>
        <xdr:nvPicPr>
          <xdr:cNvPr id="7" name="Picture 3" descr="LOGO INSTITUCIONAL CON S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402" y="783"/>
            <a:ext cx="3129" cy="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Imagen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7859" y="761"/>
            <a:ext cx="1922" cy="5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5" descr="Logotipo UE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502" y="510"/>
            <a:ext cx="1531" cy="12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7588250</xdr:colOff>
      <xdr:row>0</xdr:row>
      <xdr:rowOff>269875</xdr:rowOff>
    </xdr:from>
    <xdr:to>
      <xdr:col>4</xdr:col>
      <xdr:colOff>323850</xdr:colOff>
      <xdr:row>0</xdr:row>
      <xdr:rowOff>1092200</xdr:rowOff>
    </xdr:to>
    <xdr:grpSp>
      <xdr:nvGrpSpPr>
        <xdr:cNvPr id="9" name="Group 2"/>
        <xdr:cNvGrpSpPr>
          <a:grpSpLocks/>
        </xdr:cNvGrpSpPr>
      </xdr:nvGrpSpPr>
      <xdr:grpSpPr bwMode="auto">
        <a:xfrm>
          <a:off x="15374022" y="260731"/>
          <a:ext cx="5588338" cy="796798"/>
          <a:chOff x="2502" y="510"/>
          <a:chExt cx="7279" cy="1295"/>
        </a:xfrm>
      </xdr:grpSpPr>
      <xdr:pic>
        <xdr:nvPicPr>
          <xdr:cNvPr id="10" name="Picture 3" descr="LOGO INSTITUCIONAL CON S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402" y="783"/>
            <a:ext cx="3129" cy="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Imagen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7859" y="761"/>
            <a:ext cx="1922" cy="5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5" descr="Logotipo UE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502" y="510"/>
            <a:ext cx="1531" cy="12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207819</xdr:colOff>
      <xdr:row>0</xdr:row>
      <xdr:rowOff>329045</xdr:rowOff>
    </xdr:from>
    <xdr:to>
      <xdr:col>6</xdr:col>
      <xdr:colOff>0</xdr:colOff>
      <xdr:row>0</xdr:row>
      <xdr:rowOff>1151370</xdr:rowOff>
    </xdr:to>
    <xdr:grpSp>
      <xdr:nvGrpSpPr>
        <xdr:cNvPr id="6" name="Group 2"/>
        <xdr:cNvGrpSpPr>
          <a:grpSpLocks/>
        </xdr:cNvGrpSpPr>
      </xdr:nvGrpSpPr>
      <xdr:grpSpPr bwMode="auto">
        <a:xfrm>
          <a:off x="18290148" y="318758"/>
          <a:ext cx="3738579" cy="795655"/>
          <a:chOff x="2502" y="510"/>
          <a:chExt cx="7279" cy="1295"/>
        </a:xfrm>
      </xdr:grpSpPr>
      <xdr:pic>
        <xdr:nvPicPr>
          <xdr:cNvPr id="7" name="Picture 3" descr="LOGO INSTITUCIONAL CON S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4402" y="783"/>
            <a:ext cx="3129" cy="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Imagen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7859" y="761"/>
            <a:ext cx="1922" cy="5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5" descr="Logotipo UE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502" y="510"/>
            <a:ext cx="1531" cy="12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E17"/>
  <sheetViews>
    <sheetView workbookViewId="0">
      <selection activeCell="C14" sqref="C14"/>
    </sheetView>
  </sheetViews>
  <sheetFormatPr baseColWidth="10" defaultRowHeight="14.25"/>
  <cols>
    <col min="1" max="1" width="11.140625" style="4" customWidth="1"/>
    <col min="2" max="2" width="22.42578125" style="4" customWidth="1"/>
    <col min="3" max="3" width="107.5703125" style="1" customWidth="1"/>
    <col min="4" max="4" width="11.42578125" style="1"/>
    <col min="5" max="5" width="17.42578125" style="1" customWidth="1"/>
    <col min="6" max="6" width="16.140625" style="1" customWidth="1"/>
    <col min="7" max="16384" width="11.42578125" style="1"/>
  </cols>
  <sheetData>
    <row r="2" spans="1:5" ht="27.75" customHeight="1">
      <c r="C2" s="3" t="s">
        <v>5</v>
      </c>
      <c r="D2" s="6" t="s">
        <v>15</v>
      </c>
      <c r="E2" s="6" t="s">
        <v>16</v>
      </c>
    </row>
    <row r="3" spans="1:5" ht="27" customHeight="1">
      <c r="A3" s="5">
        <v>1</v>
      </c>
      <c r="B3" s="427" t="s">
        <v>19</v>
      </c>
      <c r="C3" s="2" t="s">
        <v>4</v>
      </c>
      <c r="D3" s="7" t="s">
        <v>17</v>
      </c>
      <c r="E3" s="7" t="s">
        <v>17</v>
      </c>
    </row>
    <row r="4" spans="1:5" ht="27" customHeight="1">
      <c r="A4" s="5">
        <v>2</v>
      </c>
      <c r="B4" s="428"/>
      <c r="C4" s="2" t="s">
        <v>3</v>
      </c>
      <c r="D4" s="7" t="s">
        <v>17</v>
      </c>
      <c r="E4" s="7" t="s">
        <v>17</v>
      </c>
    </row>
    <row r="5" spans="1:5" ht="27" customHeight="1">
      <c r="A5" s="5">
        <v>3</v>
      </c>
      <c r="B5" s="428"/>
      <c r="C5" s="2" t="s">
        <v>2</v>
      </c>
      <c r="D5" s="7" t="s">
        <v>17</v>
      </c>
      <c r="E5" s="7" t="s">
        <v>17</v>
      </c>
    </row>
    <row r="6" spans="1:5" ht="27" customHeight="1">
      <c r="A6" s="5">
        <v>4</v>
      </c>
      <c r="B6" s="428"/>
      <c r="C6" s="2" t="s">
        <v>1</v>
      </c>
      <c r="D6" s="7" t="s">
        <v>17</v>
      </c>
      <c r="E6" s="7" t="s">
        <v>17</v>
      </c>
    </row>
    <row r="7" spans="1:5" ht="30.75" customHeight="1">
      <c r="A7" s="5">
        <v>5</v>
      </c>
      <c r="B7" s="429"/>
      <c r="C7" s="2" t="s">
        <v>6</v>
      </c>
      <c r="D7" s="7" t="s">
        <v>17</v>
      </c>
      <c r="E7" s="7" t="s">
        <v>17</v>
      </c>
    </row>
    <row r="8" spans="1:5" ht="33.75" customHeight="1">
      <c r="A8" s="5">
        <v>6</v>
      </c>
      <c r="B8" s="8" t="s">
        <v>20</v>
      </c>
      <c r="C8" s="2" t="s">
        <v>7</v>
      </c>
      <c r="D8" s="7" t="s">
        <v>17</v>
      </c>
      <c r="E8" s="7" t="s">
        <v>17</v>
      </c>
    </row>
    <row r="9" spans="1:5" ht="27" customHeight="1">
      <c r="A9" s="5">
        <v>7</v>
      </c>
      <c r="B9" s="427" t="s">
        <v>21</v>
      </c>
      <c r="C9" s="2" t="s">
        <v>8</v>
      </c>
      <c r="D9" s="7" t="s">
        <v>17</v>
      </c>
      <c r="E9" s="7" t="s">
        <v>17</v>
      </c>
    </row>
    <row r="10" spans="1:5" ht="27" customHeight="1">
      <c r="A10" s="5">
        <v>8</v>
      </c>
      <c r="B10" s="429"/>
      <c r="C10" s="2" t="s">
        <v>9</v>
      </c>
      <c r="D10" s="7" t="s">
        <v>17</v>
      </c>
      <c r="E10" s="7" t="s">
        <v>18</v>
      </c>
    </row>
    <row r="11" spans="1:5" ht="27" customHeight="1">
      <c r="A11" s="5">
        <v>9</v>
      </c>
      <c r="B11" s="427" t="s">
        <v>22</v>
      </c>
      <c r="C11" s="2" t="s">
        <v>10</v>
      </c>
      <c r="D11" s="7" t="s">
        <v>17</v>
      </c>
      <c r="E11" s="7" t="s">
        <v>17</v>
      </c>
    </row>
    <row r="12" spans="1:5" ht="27" customHeight="1">
      <c r="A12" s="5">
        <v>10</v>
      </c>
      <c r="B12" s="428"/>
      <c r="C12" s="2" t="s">
        <v>11</v>
      </c>
      <c r="D12" s="7" t="s">
        <v>17</v>
      </c>
      <c r="E12" s="7" t="s">
        <v>17</v>
      </c>
    </row>
    <row r="13" spans="1:5" ht="27" customHeight="1">
      <c r="A13" s="5">
        <v>11</v>
      </c>
      <c r="B13" s="428"/>
      <c r="C13" s="2" t="s">
        <v>54</v>
      </c>
      <c r="D13" s="7" t="s">
        <v>17</v>
      </c>
      <c r="E13" s="7" t="s">
        <v>17</v>
      </c>
    </row>
    <row r="14" spans="1:5" ht="27" customHeight="1">
      <c r="A14" s="5">
        <v>12</v>
      </c>
      <c r="B14" s="429"/>
      <c r="C14" s="2" t="s">
        <v>12</v>
      </c>
      <c r="D14" s="7" t="s">
        <v>17</v>
      </c>
      <c r="E14" s="7" t="s">
        <v>17</v>
      </c>
    </row>
    <row r="15" spans="1:5" ht="27" customHeight="1">
      <c r="A15" s="5">
        <v>13</v>
      </c>
      <c r="B15" s="8" t="s">
        <v>23</v>
      </c>
      <c r="C15" s="2" t="s">
        <v>0</v>
      </c>
      <c r="D15" s="7" t="s">
        <v>17</v>
      </c>
      <c r="E15" s="7" t="s">
        <v>17</v>
      </c>
    </row>
    <row r="16" spans="1:5" ht="27" customHeight="1">
      <c r="A16" s="5">
        <v>14</v>
      </c>
      <c r="B16" s="427" t="s">
        <v>24</v>
      </c>
      <c r="C16" s="2" t="s">
        <v>13</v>
      </c>
      <c r="D16" s="7" t="s">
        <v>17</v>
      </c>
      <c r="E16" s="7" t="s">
        <v>17</v>
      </c>
    </row>
    <row r="17" spans="1:5" ht="27" customHeight="1">
      <c r="A17" s="5">
        <v>15</v>
      </c>
      <c r="B17" s="429"/>
      <c r="C17" s="2" t="s">
        <v>14</v>
      </c>
      <c r="D17" s="7" t="s">
        <v>17</v>
      </c>
      <c r="E17" s="7" t="s">
        <v>17</v>
      </c>
    </row>
  </sheetData>
  <mergeCells count="4">
    <mergeCell ref="B3:B7"/>
    <mergeCell ref="B9:B10"/>
    <mergeCell ref="B11:B14"/>
    <mergeCell ref="B16:B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18"/>
  <sheetViews>
    <sheetView topLeftCell="C16" zoomScale="70" zoomScaleNormal="70" workbookViewId="0">
      <selection activeCell="K3" sqref="K3:K17"/>
    </sheetView>
  </sheetViews>
  <sheetFormatPr baseColWidth="10" defaultRowHeight="14.25"/>
  <cols>
    <col min="1" max="1" width="7" style="4" customWidth="1"/>
    <col min="2" max="2" width="22.42578125" style="4" customWidth="1"/>
    <col min="3" max="3" width="46.7109375" style="1" customWidth="1"/>
    <col min="4" max="4" width="22.140625" style="11" customWidth="1"/>
    <col min="5" max="5" width="18.5703125" style="1" bestFit="1" customWidth="1"/>
    <col min="6" max="7" width="20.5703125" style="1" customWidth="1"/>
    <col min="8" max="8" width="20.5703125" style="37" customWidth="1"/>
    <col min="9" max="11" width="20.5703125" style="1" customWidth="1"/>
    <col min="12" max="15" width="20.5703125" style="65" customWidth="1"/>
    <col min="16" max="16" width="31.85546875" style="1" customWidth="1"/>
    <col min="17" max="16384" width="11.42578125" style="1"/>
  </cols>
  <sheetData>
    <row r="1" spans="1:17" ht="15" thickBot="1">
      <c r="M1" s="463" t="s">
        <v>62</v>
      </c>
      <c r="N1" s="463"/>
      <c r="O1" s="89"/>
    </row>
    <row r="2" spans="1:17" ht="71.25" customHeight="1" thickBot="1">
      <c r="A2" s="27" t="s">
        <v>49</v>
      </c>
      <c r="B2" s="20" t="s">
        <v>48</v>
      </c>
      <c r="C2" s="26" t="s">
        <v>5</v>
      </c>
      <c r="D2" s="25" t="s">
        <v>25</v>
      </c>
      <c r="E2" s="25" t="s">
        <v>26</v>
      </c>
      <c r="F2" s="25" t="s">
        <v>27</v>
      </c>
      <c r="G2" s="25" t="s">
        <v>28</v>
      </c>
      <c r="H2" s="38" t="s">
        <v>29</v>
      </c>
      <c r="I2" s="25" t="s">
        <v>50</v>
      </c>
      <c r="J2" s="36" t="s">
        <v>58</v>
      </c>
      <c r="K2" s="52" t="s">
        <v>30</v>
      </c>
      <c r="L2" s="74" t="s">
        <v>59</v>
      </c>
      <c r="M2" s="79" t="s">
        <v>60</v>
      </c>
      <c r="N2" s="79" t="s">
        <v>61</v>
      </c>
      <c r="O2" s="79" t="s">
        <v>64</v>
      </c>
      <c r="P2" s="51" t="s">
        <v>52</v>
      </c>
    </row>
    <row r="3" spans="1:17" ht="34.5" customHeight="1">
      <c r="A3" s="21">
        <v>1</v>
      </c>
      <c r="B3" s="464" t="s">
        <v>19</v>
      </c>
      <c r="C3" s="32" t="s">
        <v>35</v>
      </c>
      <c r="D3" s="14" t="s">
        <v>31</v>
      </c>
      <c r="E3" s="15">
        <v>57040</v>
      </c>
      <c r="F3" s="15">
        <v>57040</v>
      </c>
      <c r="G3" s="15">
        <v>57040</v>
      </c>
      <c r="H3" s="39">
        <f>G3/F3</f>
        <v>1</v>
      </c>
      <c r="I3" s="15">
        <f>F3*0.6</f>
        <v>34224</v>
      </c>
      <c r="J3" s="45">
        <f>G3*0.6</f>
        <v>34224</v>
      </c>
      <c r="K3" s="53">
        <v>53.9</v>
      </c>
      <c r="L3" s="432">
        <v>816040</v>
      </c>
      <c r="M3" s="69"/>
      <c r="N3" s="69"/>
      <c r="O3" s="69"/>
      <c r="P3" s="80"/>
    </row>
    <row r="4" spans="1:17" ht="34.5" customHeight="1">
      <c r="A4" s="22">
        <v>2</v>
      </c>
      <c r="B4" s="465"/>
      <c r="C4" s="33" t="s">
        <v>34</v>
      </c>
      <c r="D4" s="10" t="s">
        <v>32</v>
      </c>
      <c r="E4" s="9">
        <v>57040</v>
      </c>
      <c r="F4" s="9">
        <v>57040</v>
      </c>
      <c r="G4" s="9">
        <v>57040</v>
      </c>
      <c r="H4" s="40">
        <f t="shared" ref="H4:H17" si="0">G4/F4</f>
        <v>1</v>
      </c>
      <c r="I4" s="9">
        <f t="shared" ref="I4:J16" si="1">F4*0.6</f>
        <v>34224</v>
      </c>
      <c r="J4" s="46">
        <f t="shared" si="1"/>
        <v>34224</v>
      </c>
      <c r="K4" s="54">
        <v>52.8</v>
      </c>
      <c r="L4" s="438"/>
      <c r="M4" s="70"/>
      <c r="N4" s="70"/>
      <c r="O4" s="70"/>
      <c r="P4" s="81"/>
    </row>
    <row r="5" spans="1:17" ht="47.25" customHeight="1">
      <c r="A5" s="22">
        <v>3</v>
      </c>
      <c r="B5" s="465"/>
      <c r="C5" s="33" t="s">
        <v>36</v>
      </c>
      <c r="D5" s="10" t="s">
        <v>33</v>
      </c>
      <c r="E5" s="9">
        <v>84158.12</v>
      </c>
      <c r="F5" s="9">
        <v>84158.12</v>
      </c>
      <c r="G5" s="9">
        <v>84158.12</v>
      </c>
      <c r="H5" s="40">
        <f t="shared" si="0"/>
        <v>1</v>
      </c>
      <c r="I5" s="9">
        <f t="shared" si="1"/>
        <v>50494.871999999996</v>
      </c>
      <c r="J5" s="46">
        <f t="shared" si="1"/>
        <v>50494.871999999996</v>
      </c>
      <c r="K5" s="54">
        <v>35.1</v>
      </c>
      <c r="L5" s="438"/>
      <c r="M5" s="70"/>
      <c r="N5" s="70"/>
      <c r="O5" s="70"/>
      <c r="P5" s="81"/>
    </row>
    <row r="6" spans="1:17" ht="48.75" customHeight="1">
      <c r="A6" s="22">
        <v>4</v>
      </c>
      <c r="B6" s="465"/>
      <c r="C6" s="33" t="s">
        <v>1</v>
      </c>
      <c r="D6" s="10" t="s">
        <v>43</v>
      </c>
      <c r="E6" s="9">
        <v>199545.68</v>
      </c>
      <c r="F6" s="9">
        <v>199545.68</v>
      </c>
      <c r="G6" s="9">
        <v>119727.41</v>
      </c>
      <c r="H6" s="40">
        <f t="shared" si="0"/>
        <v>0.6000000100227677</v>
      </c>
      <c r="I6" s="9">
        <f t="shared" si="1"/>
        <v>119727.408</v>
      </c>
      <c r="J6" s="46">
        <f>I6</f>
        <v>119727.408</v>
      </c>
      <c r="K6" s="54">
        <v>49.2</v>
      </c>
      <c r="L6" s="438"/>
      <c r="M6" s="70"/>
      <c r="N6" s="70"/>
      <c r="O6" s="70"/>
      <c r="P6" s="81"/>
    </row>
    <row r="7" spans="1:17" ht="77.25" customHeight="1" thickBot="1">
      <c r="A7" s="23">
        <v>5</v>
      </c>
      <c r="B7" s="466"/>
      <c r="C7" s="34" t="s">
        <v>6</v>
      </c>
      <c r="D7" s="16" t="s">
        <v>42</v>
      </c>
      <c r="E7" s="17">
        <v>93305.79</v>
      </c>
      <c r="F7" s="17">
        <v>35752.03</v>
      </c>
      <c r="G7" s="17">
        <v>35752.03</v>
      </c>
      <c r="H7" s="41">
        <f t="shared" si="0"/>
        <v>1</v>
      </c>
      <c r="I7" s="17">
        <f>F7*0.6</f>
        <v>21451.217999999997</v>
      </c>
      <c r="J7" s="47">
        <f t="shared" si="1"/>
        <v>21451.217999999997</v>
      </c>
      <c r="K7" s="55">
        <v>68</v>
      </c>
      <c r="L7" s="433"/>
      <c r="M7" s="67">
        <f>J7*0.8</f>
        <v>17160.974399999999</v>
      </c>
      <c r="N7" s="67">
        <f>J7*0.2</f>
        <v>4290.2435999999998</v>
      </c>
      <c r="O7" s="67">
        <f>SUM(M7:N7)</f>
        <v>21451.218000000001</v>
      </c>
      <c r="P7" s="82" t="s">
        <v>56</v>
      </c>
    </row>
    <row r="8" spans="1:17" ht="34.5" customHeight="1" thickBot="1">
      <c r="A8" s="24">
        <v>6</v>
      </c>
      <c r="B8" s="28" t="s">
        <v>20</v>
      </c>
      <c r="C8" s="35" t="s">
        <v>7</v>
      </c>
      <c r="D8" s="18" t="s">
        <v>41</v>
      </c>
      <c r="E8" s="19">
        <v>106591.21</v>
      </c>
      <c r="F8" s="19">
        <v>106591.21</v>
      </c>
      <c r="G8" s="19">
        <v>106591.21</v>
      </c>
      <c r="H8" s="42">
        <f t="shared" si="0"/>
        <v>1</v>
      </c>
      <c r="I8" s="19">
        <f t="shared" si="1"/>
        <v>63954.726000000002</v>
      </c>
      <c r="J8" s="48">
        <f t="shared" si="1"/>
        <v>63954.726000000002</v>
      </c>
      <c r="K8" s="56">
        <v>33.299999999999997</v>
      </c>
      <c r="L8" s="75">
        <v>440510</v>
      </c>
      <c r="M8" s="68">
        <f>J8*0.8</f>
        <v>51163.780800000008</v>
      </c>
      <c r="N8" s="68">
        <f>J8*0.2</f>
        <v>12790.945200000002</v>
      </c>
      <c r="O8" s="68">
        <f>SUM(M8:N8)</f>
        <v>63954.72600000001</v>
      </c>
      <c r="P8" s="83"/>
    </row>
    <row r="9" spans="1:17" ht="34.5" customHeight="1">
      <c r="A9" s="21">
        <v>7</v>
      </c>
      <c r="B9" s="464" t="s">
        <v>21</v>
      </c>
      <c r="C9" s="32" t="s">
        <v>8</v>
      </c>
      <c r="D9" s="12" t="s">
        <v>40</v>
      </c>
      <c r="E9" s="15">
        <v>1458385.9</v>
      </c>
      <c r="F9" s="15" t="s">
        <v>53</v>
      </c>
      <c r="G9" s="15">
        <v>147104.44</v>
      </c>
      <c r="H9" s="39">
        <v>1</v>
      </c>
      <c r="I9" s="15">
        <f>G9*0.6</f>
        <v>88262.664000000004</v>
      </c>
      <c r="J9" s="45">
        <f>I9</f>
        <v>88262.664000000004</v>
      </c>
      <c r="K9" s="57">
        <v>52.6</v>
      </c>
      <c r="L9" s="432">
        <v>65000</v>
      </c>
      <c r="M9" s="71"/>
      <c r="N9" s="71"/>
      <c r="O9" s="72"/>
      <c r="P9" s="84" t="s">
        <v>51</v>
      </c>
    </row>
    <row r="10" spans="1:17" ht="34.5" customHeight="1" thickBot="1">
      <c r="A10" s="23">
        <v>8</v>
      </c>
      <c r="B10" s="466"/>
      <c r="C10" s="34" t="s">
        <v>9</v>
      </c>
      <c r="D10" s="16" t="s">
        <v>39</v>
      </c>
      <c r="E10" s="13">
        <v>2976464.92</v>
      </c>
      <c r="F10" s="13">
        <v>2976464.92</v>
      </c>
      <c r="G10" s="13">
        <v>1020050</v>
      </c>
      <c r="H10" s="43">
        <f t="shared" ref="H10" si="2">G10/F10</f>
        <v>0.34270519808444444</v>
      </c>
      <c r="I10" s="13">
        <f t="shared" si="1"/>
        <v>1785878.9519999998</v>
      </c>
      <c r="J10" s="49">
        <f>G10</f>
        <v>1020050</v>
      </c>
      <c r="K10" s="58">
        <v>85.1</v>
      </c>
      <c r="L10" s="433"/>
      <c r="M10" s="67">
        <v>65000</v>
      </c>
      <c r="N10" s="67">
        <f>20*M10/80</f>
        <v>16250</v>
      </c>
      <c r="O10" s="67">
        <f>SUM(M10:N10)</f>
        <v>81250</v>
      </c>
      <c r="P10" s="82"/>
      <c r="Q10" s="64"/>
    </row>
    <row r="11" spans="1:17" ht="49.5" customHeight="1">
      <c r="A11" s="21">
        <v>9</v>
      </c>
      <c r="B11" s="464" t="s">
        <v>22</v>
      </c>
      <c r="C11" s="32" t="s">
        <v>10</v>
      </c>
      <c r="D11" s="14" t="s">
        <v>38</v>
      </c>
      <c r="E11" s="15">
        <v>1049897.1299999999</v>
      </c>
      <c r="F11" s="15">
        <v>1049897.1299999999</v>
      </c>
      <c r="G11" s="15">
        <v>1049897.1299999999</v>
      </c>
      <c r="H11" s="39">
        <f t="shared" si="0"/>
        <v>1</v>
      </c>
      <c r="I11" s="15">
        <f t="shared" si="1"/>
        <v>629938.27799999993</v>
      </c>
      <c r="J11" s="45">
        <f t="shared" si="1"/>
        <v>629938.27799999993</v>
      </c>
      <c r="K11" s="59">
        <v>80.5</v>
      </c>
      <c r="L11" s="432">
        <v>104346</v>
      </c>
      <c r="M11" s="69">
        <v>104346</v>
      </c>
      <c r="N11" s="69">
        <f>20*M11/80</f>
        <v>26086.5</v>
      </c>
      <c r="O11" s="69">
        <f>SUM(M11:N11)</f>
        <v>130432.5</v>
      </c>
      <c r="P11" s="80"/>
    </row>
    <row r="12" spans="1:17" ht="34.5" customHeight="1">
      <c r="A12" s="22">
        <v>10</v>
      </c>
      <c r="B12" s="465"/>
      <c r="C12" s="33" t="s">
        <v>55</v>
      </c>
      <c r="D12" s="10" t="s">
        <v>37</v>
      </c>
      <c r="E12" s="9">
        <v>79638.350000000006</v>
      </c>
      <c r="F12" s="9">
        <v>79638.350000000006</v>
      </c>
      <c r="G12" s="9">
        <v>50000</v>
      </c>
      <c r="H12" s="40">
        <f t="shared" si="0"/>
        <v>0.62783822115852472</v>
      </c>
      <c r="I12" s="9">
        <f t="shared" si="1"/>
        <v>47783.01</v>
      </c>
      <c r="J12" s="46">
        <f>I12</f>
        <v>47783.01</v>
      </c>
      <c r="K12" s="54">
        <v>35.4</v>
      </c>
      <c r="L12" s="438"/>
      <c r="M12" s="72"/>
      <c r="N12" s="72"/>
      <c r="O12" s="72"/>
      <c r="P12" s="81"/>
    </row>
    <row r="13" spans="1:17" ht="45.75" customHeight="1">
      <c r="A13" s="22">
        <v>11</v>
      </c>
      <c r="B13" s="465"/>
      <c r="C13" s="33" t="s">
        <v>54</v>
      </c>
      <c r="D13" s="10" t="s">
        <v>44</v>
      </c>
      <c r="E13" s="9">
        <v>119804.82</v>
      </c>
      <c r="F13" s="9">
        <v>119804.82</v>
      </c>
      <c r="G13" s="9">
        <v>71882.41</v>
      </c>
      <c r="H13" s="40">
        <f t="shared" si="0"/>
        <v>0.59999597678958161</v>
      </c>
      <c r="I13" s="9">
        <f t="shared" si="1"/>
        <v>71882.892000000007</v>
      </c>
      <c r="J13" s="46">
        <f>I13</f>
        <v>71882.892000000007</v>
      </c>
      <c r="K13" s="54">
        <v>39.700000000000003</v>
      </c>
      <c r="L13" s="438"/>
      <c r="M13" s="73"/>
      <c r="N13" s="73"/>
      <c r="O13" s="73"/>
      <c r="P13" s="81"/>
    </row>
    <row r="14" spans="1:17" ht="51.75" customHeight="1" thickBot="1">
      <c r="A14" s="23">
        <v>12</v>
      </c>
      <c r="B14" s="466"/>
      <c r="C14" s="34" t="s">
        <v>12</v>
      </c>
      <c r="D14" s="16" t="s">
        <v>45</v>
      </c>
      <c r="E14" s="17">
        <v>163964.26</v>
      </c>
      <c r="F14" s="17">
        <v>163964.26</v>
      </c>
      <c r="G14" s="17">
        <f t="shared" ref="G14" si="3">E14*0.6</f>
        <v>98378.555999999997</v>
      </c>
      <c r="H14" s="41">
        <f t="shared" si="0"/>
        <v>0.6</v>
      </c>
      <c r="I14" s="17">
        <f t="shared" si="1"/>
        <v>98378.555999999997</v>
      </c>
      <c r="J14" s="47">
        <f>I14</f>
        <v>98378.555999999997</v>
      </c>
      <c r="K14" s="60">
        <v>77</v>
      </c>
      <c r="L14" s="433"/>
      <c r="M14" s="66"/>
      <c r="N14" s="66"/>
      <c r="O14" s="66"/>
      <c r="P14" s="82"/>
    </row>
    <row r="15" spans="1:17" ht="62.25" customHeight="1" thickBot="1">
      <c r="A15" s="24">
        <v>13</v>
      </c>
      <c r="B15" s="28" t="s">
        <v>23</v>
      </c>
      <c r="C15" s="35" t="s">
        <v>0</v>
      </c>
      <c r="D15" s="18" t="s">
        <v>46</v>
      </c>
      <c r="E15" s="19">
        <v>157680.5</v>
      </c>
      <c r="F15" s="19">
        <v>157680.5</v>
      </c>
      <c r="G15" s="19">
        <v>114476.05</v>
      </c>
      <c r="H15" s="42">
        <f t="shared" si="0"/>
        <v>0.72600004439356802</v>
      </c>
      <c r="I15" s="19">
        <f t="shared" si="1"/>
        <v>94608.3</v>
      </c>
      <c r="J15" s="48">
        <f>I15</f>
        <v>94608.3</v>
      </c>
      <c r="K15" s="61">
        <v>21.9</v>
      </c>
      <c r="L15" s="75">
        <v>492445</v>
      </c>
      <c r="M15" s="68">
        <f>J15*0.8</f>
        <v>75686.64</v>
      </c>
      <c r="N15" s="68">
        <f>J15*0.2</f>
        <v>18921.66</v>
      </c>
      <c r="O15" s="68">
        <f>SUM(M15:N15)</f>
        <v>94608.3</v>
      </c>
      <c r="P15" s="83"/>
    </row>
    <row r="16" spans="1:17" ht="34.5" customHeight="1">
      <c r="A16" s="21">
        <v>14</v>
      </c>
      <c r="B16" s="464" t="s">
        <v>24</v>
      </c>
      <c r="C16" s="32" t="s">
        <v>13</v>
      </c>
      <c r="D16" s="14" t="s">
        <v>47</v>
      </c>
      <c r="E16" s="15">
        <v>53719</v>
      </c>
      <c r="F16" s="15">
        <v>53719</v>
      </c>
      <c r="G16" s="15">
        <v>30000</v>
      </c>
      <c r="H16" s="39">
        <f t="shared" si="0"/>
        <v>0.5584616243787115</v>
      </c>
      <c r="I16" s="15">
        <f t="shared" si="1"/>
        <v>32231.399999999998</v>
      </c>
      <c r="J16" s="45">
        <f>G16</f>
        <v>30000</v>
      </c>
      <c r="K16" s="62">
        <v>35.5</v>
      </c>
      <c r="L16" s="432">
        <v>371264</v>
      </c>
      <c r="M16" s="69">
        <f>J16*0.8</f>
        <v>24000</v>
      </c>
      <c r="N16" s="69">
        <f>J16*0.2</f>
        <v>6000</v>
      </c>
      <c r="O16" s="69">
        <f>SUM(M16:N16)</f>
        <v>30000</v>
      </c>
      <c r="P16" s="80"/>
    </row>
    <row r="17" spans="1:16" ht="34.5" customHeight="1" thickBot="1">
      <c r="A17" s="23">
        <v>15</v>
      </c>
      <c r="B17" s="467"/>
      <c r="C17" s="29" t="s">
        <v>14</v>
      </c>
      <c r="D17" s="30" t="s">
        <v>47</v>
      </c>
      <c r="E17" s="31">
        <v>407437.24</v>
      </c>
      <c r="F17" s="31">
        <v>272726.55</v>
      </c>
      <c r="G17" s="31">
        <v>60000</v>
      </c>
      <c r="H17" s="44">
        <f t="shared" si="0"/>
        <v>0.22000058300154496</v>
      </c>
      <c r="I17" s="31">
        <f>F17*0.6</f>
        <v>163635.93</v>
      </c>
      <c r="J17" s="50">
        <f>G17</f>
        <v>60000</v>
      </c>
      <c r="K17" s="63">
        <v>34.6</v>
      </c>
      <c r="L17" s="433"/>
      <c r="M17" s="66"/>
      <c r="N17" s="66"/>
      <c r="O17" s="66"/>
      <c r="P17" s="85" t="s">
        <v>57</v>
      </c>
    </row>
    <row r="18" spans="1:16" ht="25.5" customHeight="1" thickBot="1">
      <c r="L18" s="76" t="s">
        <v>63</v>
      </c>
      <c r="M18" s="78">
        <f>SUM(M3:M17)</f>
        <v>337357.39520000003</v>
      </c>
      <c r="N18" s="77">
        <f>SUM(N3:N17)</f>
        <v>84339.348800000007</v>
      </c>
      <c r="O18" s="77">
        <f>SUM(M18:N18)</f>
        <v>421696.74400000006</v>
      </c>
      <c r="P18" s="86"/>
    </row>
  </sheetData>
  <mergeCells count="9">
    <mergeCell ref="M1:N1"/>
    <mergeCell ref="B3:B7"/>
    <mergeCell ref="B9:B10"/>
    <mergeCell ref="B11:B14"/>
    <mergeCell ref="B16:B17"/>
    <mergeCell ref="L3:L7"/>
    <mergeCell ref="L9:L10"/>
    <mergeCell ref="L11:L14"/>
    <mergeCell ref="L16:L17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19"/>
  <sheetViews>
    <sheetView topLeftCell="C16" zoomScale="70" zoomScaleNormal="70" workbookViewId="0">
      <selection activeCell="K8" sqref="K8"/>
    </sheetView>
  </sheetViews>
  <sheetFormatPr baseColWidth="10" defaultRowHeight="14.25"/>
  <cols>
    <col min="1" max="1" width="7" style="4" customWidth="1"/>
    <col min="2" max="2" width="22.42578125" style="4" customWidth="1"/>
    <col min="3" max="3" width="46.7109375" style="1" customWidth="1"/>
    <col min="4" max="4" width="22.140625" style="11" customWidth="1"/>
    <col min="5" max="5" width="18.5703125" style="1" bestFit="1" customWidth="1"/>
    <col min="6" max="7" width="20.5703125" style="1" customWidth="1"/>
    <col min="8" max="8" width="20.5703125" style="37" customWidth="1"/>
    <col min="9" max="11" width="20.5703125" style="1" customWidth="1"/>
    <col min="12" max="15" width="20.5703125" style="65" customWidth="1"/>
    <col min="16" max="16" width="31.85546875" style="1" customWidth="1"/>
    <col min="17" max="16384" width="11.42578125" style="1"/>
  </cols>
  <sheetData>
    <row r="1" spans="1:17" ht="15" thickBot="1">
      <c r="M1" s="463" t="s">
        <v>62</v>
      </c>
      <c r="N1" s="463"/>
      <c r="O1" s="89"/>
    </row>
    <row r="2" spans="1:17" ht="71.25" customHeight="1" thickBot="1">
      <c r="A2" s="27" t="s">
        <v>49</v>
      </c>
      <c r="B2" s="20" t="s">
        <v>48</v>
      </c>
      <c r="C2" s="26" t="s">
        <v>5</v>
      </c>
      <c r="D2" s="25" t="s">
        <v>25</v>
      </c>
      <c r="E2" s="25" t="s">
        <v>26</v>
      </c>
      <c r="F2" s="25" t="s">
        <v>27</v>
      </c>
      <c r="G2" s="25" t="s">
        <v>28</v>
      </c>
      <c r="H2" s="38" t="s">
        <v>29</v>
      </c>
      <c r="I2" s="25" t="s">
        <v>50</v>
      </c>
      <c r="J2" s="36" t="s">
        <v>58</v>
      </c>
      <c r="K2" s="52" t="s">
        <v>30</v>
      </c>
      <c r="L2" s="74" t="s">
        <v>59</v>
      </c>
      <c r="M2" s="79" t="s">
        <v>60</v>
      </c>
      <c r="N2" s="79" t="s">
        <v>61</v>
      </c>
      <c r="O2" s="79" t="s">
        <v>64</v>
      </c>
      <c r="P2" s="51" t="s">
        <v>52</v>
      </c>
    </row>
    <row r="3" spans="1:17" ht="34.5" customHeight="1">
      <c r="A3" s="21">
        <v>1</v>
      </c>
      <c r="B3" s="464" t="s">
        <v>19</v>
      </c>
      <c r="C3" s="32" t="s">
        <v>35</v>
      </c>
      <c r="D3" s="14" t="s">
        <v>31</v>
      </c>
      <c r="E3" s="15">
        <v>57040</v>
      </c>
      <c r="F3" s="15">
        <v>57040</v>
      </c>
      <c r="G3" s="15">
        <v>57040</v>
      </c>
      <c r="H3" s="39">
        <f>G3/F3</f>
        <v>1</v>
      </c>
      <c r="I3" s="15">
        <f>F3*0.6</f>
        <v>34224</v>
      </c>
      <c r="J3" s="45">
        <f>G3*0.6</f>
        <v>34224</v>
      </c>
      <c r="K3" s="53">
        <v>53.9</v>
      </c>
      <c r="L3" s="432">
        <v>816040</v>
      </c>
      <c r="M3" s="69"/>
      <c r="N3" s="69"/>
      <c r="O3" s="69"/>
      <c r="P3" s="80"/>
    </row>
    <row r="4" spans="1:17" ht="34.5" customHeight="1">
      <c r="A4" s="22">
        <v>2</v>
      </c>
      <c r="B4" s="465"/>
      <c r="C4" s="33" t="s">
        <v>34</v>
      </c>
      <c r="D4" s="10" t="s">
        <v>32</v>
      </c>
      <c r="E4" s="9">
        <v>57040</v>
      </c>
      <c r="F4" s="9">
        <v>57040</v>
      </c>
      <c r="G4" s="9">
        <v>57040</v>
      </c>
      <c r="H4" s="40">
        <f t="shared" ref="H4:H17" si="0">G4/F4</f>
        <v>1</v>
      </c>
      <c r="I4" s="9">
        <f t="shared" ref="I4:J16" si="1">F4*0.6</f>
        <v>34224</v>
      </c>
      <c r="J4" s="46">
        <f t="shared" si="1"/>
        <v>34224</v>
      </c>
      <c r="K4" s="54">
        <v>52.8</v>
      </c>
      <c r="L4" s="438"/>
      <c r="M4" s="70"/>
      <c r="N4" s="70"/>
      <c r="O4" s="70"/>
      <c r="P4" s="81"/>
    </row>
    <row r="5" spans="1:17" ht="47.25" customHeight="1">
      <c r="A5" s="22">
        <v>3</v>
      </c>
      <c r="B5" s="465"/>
      <c r="C5" s="33" t="s">
        <v>36</v>
      </c>
      <c r="D5" s="10" t="s">
        <v>33</v>
      </c>
      <c r="E5" s="9">
        <v>84158.12</v>
      </c>
      <c r="F5" s="9">
        <v>84158.12</v>
      </c>
      <c r="G5" s="9">
        <v>84158.12</v>
      </c>
      <c r="H5" s="40">
        <f t="shared" si="0"/>
        <v>1</v>
      </c>
      <c r="I5" s="9">
        <f t="shared" si="1"/>
        <v>50494.871999999996</v>
      </c>
      <c r="J5" s="46">
        <f t="shared" si="1"/>
        <v>50494.871999999996</v>
      </c>
      <c r="K5" s="54">
        <v>35.1</v>
      </c>
      <c r="L5" s="438"/>
      <c r="M5" s="70"/>
      <c r="N5" s="70"/>
      <c r="O5" s="70"/>
      <c r="P5" s="81"/>
    </row>
    <row r="6" spans="1:17" ht="48.75" customHeight="1">
      <c r="A6" s="22">
        <v>4</v>
      </c>
      <c r="B6" s="465"/>
      <c r="C6" s="33" t="s">
        <v>66</v>
      </c>
      <c r="D6" s="10" t="s">
        <v>43</v>
      </c>
      <c r="E6" s="9">
        <v>199545.68</v>
      </c>
      <c r="F6" s="9">
        <v>199545.68</v>
      </c>
      <c r="G6" s="9">
        <v>119727.41</v>
      </c>
      <c r="H6" s="40">
        <f t="shared" si="0"/>
        <v>0.6000000100227677</v>
      </c>
      <c r="I6" s="9">
        <f t="shared" si="1"/>
        <v>119727.408</v>
      </c>
      <c r="J6" s="46">
        <f>I6</f>
        <v>119727.408</v>
      </c>
      <c r="K6" s="54">
        <v>49.2</v>
      </c>
      <c r="L6" s="438"/>
      <c r="M6" s="94">
        <f>J6*0.8</f>
        <v>95781.926399999997</v>
      </c>
      <c r="N6" s="70">
        <f>J6*0.2</f>
        <v>23945.481599999999</v>
      </c>
      <c r="O6" s="112">
        <f>SUM(M6:N6)</f>
        <v>119727.408</v>
      </c>
      <c r="P6" s="81"/>
    </row>
    <row r="7" spans="1:17" ht="77.25" customHeight="1" thickBot="1">
      <c r="A7" s="23">
        <v>5</v>
      </c>
      <c r="B7" s="466"/>
      <c r="C7" s="34" t="s">
        <v>6</v>
      </c>
      <c r="D7" s="16" t="s">
        <v>42</v>
      </c>
      <c r="E7" s="17">
        <v>93305.79</v>
      </c>
      <c r="F7" s="17">
        <v>29572.06</v>
      </c>
      <c r="G7" s="17">
        <v>29572.06</v>
      </c>
      <c r="H7" s="41">
        <f t="shared" si="0"/>
        <v>1</v>
      </c>
      <c r="I7" s="17">
        <f t="shared" si="1"/>
        <v>17743.236000000001</v>
      </c>
      <c r="J7" s="47">
        <f t="shared" si="1"/>
        <v>17743.236000000001</v>
      </c>
      <c r="K7" s="55">
        <v>68</v>
      </c>
      <c r="L7" s="433"/>
      <c r="M7" s="67"/>
      <c r="N7" s="67"/>
      <c r="O7" s="67"/>
      <c r="P7" s="82" t="s">
        <v>56</v>
      </c>
    </row>
    <row r="8" spans="1:17" ht="34.5" customHeight="1" thickBot="1">
      <c r="A8" s="24">
        <v>6</v>
      </c>
      <c r="B8" s="28" t="s">
        <v>20</v>
      </c>
      <c r="C8" s="35" t="s">
        <v>7</v>
      </c>
      <c r="D8" s="18" t="s">
        <v>41</v>
      </c>
      <c r="E8" s="19">
        <v>106591.21</v>
      </c>
      <c r="F8" s="19">
        <v>106591.21</v>
      </c>
      <c r="G8" s="19">
        <v>106591.21</v>
      </c>
      <c r="H8" s="42">
        <f t="shared" si="0"/>
        <v>1</v>
      </c>
      <c r="I8" s="19">
        <f t="shared" si="1"/>
        <v>63954.726000000002</v>
      </c>
      <c r="J8" s="48">
        <f t="shared" si="1"/>
        <v>63954.726000000002</v>
      </c>
      <c r="K8" s="56">
        <v>33.299999999999997</v>
      </c>
      <c r="L8" s="75">
        <v>440510</v>
      </c>
      <c r="M8" s="68">
        <f>J8*0.8</f>
        <v>51163.780800000008</v>
      </c>
      <c r="N8" s="68">
        <f>J8*0.2</f>
        <v>12790.945200000002</v>
      </c>
      <c r="O8" s="111">
        <f>SUM(M8:N8)</f>
        <v>63954.72600000001</v>
      </c>
      <c r="P8" s="83"/>
    </row>
    <row r="9" spans="1:17" ht="34.5" customHeight="1">
      <c r="A9" s="21">
        <v>7</v>
      </c>
      <c r="B9" s="464" t="s">
        <v>21</v>
      </c>
      <c r="C9" s="32" t="s">
        <v>8</v>
      </c>
      <c r="D9" s="12" t="s">
        <v>40</v>
      </c>
      <c r="E9" s="15">
        <v>1458385.9</v>
      </c>
      <c r="F9" s="15" t="s">
        <v>53</v>
      </c>
      <c r="G9" s="15">
        <v>147104.44</v>
      </c>
      <c r="H9" s="39">
        <v>1</v>
      </c>
      <c r="I9" s="15">
        <f>G9*0.6</f>
        <v>88262.664000000004</v>
      </c>
      <c r="J9" s="45">
        <f>I9</f>
        <v>88262.664000000004</v>
      </c>
      <c r="K9" s="57">
        <v>52.6</v>
      </c>
      <c r="L9" s="432">
        <v>65000</v>
      </c>
      <c r="M9" s="71"/>
      <c r="N9" s="71"/>
      <c r="O9" s="72"/>
      <c r="P9" s="84" t="s">
        <v>51</v>
      </c>
    </row>
    <row r="10" spans="1:17" ht="34.5" customHeight="1" thickBot="1">
      <c r="A10" s="23">
        <v>8</v>
      </c>
      <c r="B10" s="466"/>
      <c r="C10" s="34" t="s">
        <v>9</v>
      </c>
      <c r="D10" s="16" t="s">
        <v>39</v>
      </c>
      <c r="E10" s="13">
        <v>2976464.92</v>
      </c>
      <c r="F10" s="13">
        <v>2976464.92</v>
      </c>
      <c r="G10" s="13">
        <v>1020050</v>
      </c>
      <c r="H10" s="43">
        <f t="shared" ref="H10" si="2">G10/F10</f>
        <v>0.34270519808444444</v>
      </c>
      <c r="I10" s="13">
        <f t="shared" si="1"/>
        <v>1785878.9519999998</v>
      </c>
      <c r="J10" s="49">
        <f>G10</f>
        <v>1020050</v>
      </c>
      <c r="K10" s="58">
        <v>85.1</v>
      </c>
      <c r="L10" s="433"/>
      <c r="M10" s="67">
        <v>65000</v>
      </c>
      <c r="N10" s="108">
        <v>109524</v>
      </c>
      <c r="O10" s="67">
        <f>SUM(M10:N10)</f>
        <v>174524</v>
      </c>
      <c r="P10" s="82"/>
      <c r="Q10" s="64"/>
    </row>
    <row r="11" spans="1:17" ht="49.5" customHeight="1">
      <c r="A11" s="21">
        <v>9</v>
      </c>
      <c r="B11" s="464" t="s">
        <v>22</v>
      </c>
      <c r="C11" s="32" t="s">
        <v>10</v>
      </c>
      <c r="D11" s="14" t="s">
        <v>38</v>
      </c>
      <c r="E11" s="15">
        <v>1049897.1299999999</v>
      </c>
      <c r="F11" s="15">
        <v>1049897.1299999999</v>
      </c>
      <c r="G11" s="15">
        <v>1049897.1299999999</v>
      </c>
      <c r="H11" s="39">
        <f t="shared" si="0"/>
        <v>1</v>
      </c>
      <c r="I11" s="15">
        <f t="shared" si="1"/>
        <v>629938.27799999993</v>
      </c>
      <c r="J11" s="45">
        <f t="shared" si="1"/>
        <v>629938.27799999993</v>
      </c>
      <c r="K11" s="59">
        <v>80.5</v>
      </c>
      <c r="L11" s="432">
        <v>104346</v>
      </c>
      <c r="M11" s="69">
        <v>104346</v>
      </c>
      <c r="N11" s="97">
        <v>51750</v>
      </c>
      <c r="O11" s="69">
        <f>SUM(M11:N11)</f>
        <v>156096</v>
      </c>
      <c r="P11" s="80"/>
    </row>
    <row r="12" spans="1:17" ht="34.5" customHeight="1">
      <c r="A12" s="22">
        <v>10</v>
      </c>
      <c r="B12" s="465"/>
      <c r="C12" s="33" t="s">
        <v>55</v>
      </c>
      <c r="D12" s="10" t="s">
        <v>37</v>
      </c>
      <c r="E12" s="9">
        <v>79638.350000000006</v>
      </c>
      <c r="F12" s="9">
        <v>79638.350000000006</v>
      </c>
      <c r="G12" s="9">
        <v>50000</v>
      </c>
      <c r="H12" s="40">
        <f t="shared" si="0"/>
        <v>0.62783822115852472</v>
      </c>
      <c r="I12" s="9">
        <f t="shared" si="1"/>
        <v>47783.01</v>
      </c>
      <c r="J12" s="46">
        <f>I12</f>
        <v>47783.01</v>
      </c>
      <c r="K12" s="54">
        <v>35.4</v>
      </c>
      <c r="L12" s="438"/>
      <c r="M12" s="72"/>
      <c r="N12" s="72"/>
      <c r="O12" s="72"/>
      <c r="P12" s="81"/>
    </row>
    <row r="13" spans="1:17" ht="45.75" customHeight="1">
      <c r="A13" s="22">
        <v>11</v>
      </c>
      <c r="B13" s="465"/>
      <c r="C13" s="33" t="s">
        <v>54</v>
      </c>
      <c r="D13" s="10" t="s">
        <v>44</v>
      </c>
      <c r="E13" s="9">
        <v>119804.82</v>
      </c>
      <c r="F13" s="9">
        <v>119804.82</v>
      </c>
      <c r="G13" s="9">
        <v>71882.41</v>
      </c>
      <c r="H13" s="40">
        <f t="shared" si="0"/>
        <v>0.59999597678958161</v>
      </c>
      <c r="I13" s="9">
        <f t="shared" si="1"/>
        <v>71882.892000000007</v>
      </c>
      <c r="J13" s="46">
        <f>I13</f>
        <v>71882.892000000007</v>
      </c>
      <c r="K13" s="54">
        <v>39.700000000000003</v>
      </c>
      <c r="L13" s="438"/>
      <c r="M13" s="73"/>
      <c r="N13" s="73"/>
      <c r="O13" s="73"/>
      <c r="P13" s="81"/>
    </row>
    <row r="14" spans="1:17" ht="51.75" customHeight="1" thickBot="1">
      <c r="A14" s="23">
        <v>12</v>
      </c>
      <c r="B14" s="466"/>
      <c r="C14" s="34" t="s">
        <v>12</v>
      </c>
      <c r="D14" s="16" t="s">
        <v>45</v>
      </c>
      <c r="E14" s="17">
        <v>163964.26</v>
      </c>
      <c r="F14" s="17">
        <v>163964.26</v>
      </c>
      <c r="G14" s="17">
        <f t="shared" ref="G14" si="3">E14*0.6</f>
        <v>98378.555999999997</v>
      </c>
      <c r="H14" s="41">
        <f t="shared" si="0"/>
        <v>0.6</v>
      </c>
      <c r="I14" s="17">
        <f t="shared" si="1"/>
        <v>98378.555999999997</v>
      </c>
      <c r="J14" s="47">
        <f>I14</f>
        <v>98378.555999999997</v>
      </c>
      <c r="K14" s="60">
        <v>77</v>
      </c>
      <c r="L14" s="433"/>
      <c r="M14" s="66"/>
      <c r="N14" s="66"/>
      <c r="O14" s="66"/>
      <c r="P14" s="82"/>
    </row>
    <row r="15" spans="1:17" ht="62.25" customHeight="1" thickBot="1">
      <c r="A15" s="24">
        <v>13</v>
      </c>
      <c r="B15" s="28" t="s">
        <v>23</v>
      </c>
      <c r="C15" s="35" t="s">
        <v>0</v>
      </c>
      <c r="D15" s="18" t="s">
        <v>46</v>
      </c>
      <c r="E15" s="19">
        <v>157680.5</v>
      </c>
      <c r="F15" s="19">
        <v>157680.5</v>
      </c>
      <c r="G15" s="19">
        <v>114476.05</v>
      </c>
      <c r="H15" s="42">
        <f t="shared" si="0"/>
        <v>0.72600004439356802</v>
      </c>
      <c r="I15" s="19">
        <f t="shared" si="1"/>
        <v>94608.3</v>
      </c>
      <c r="J15" s="48">
        <f>I15</f>
        <v>94608.3</v>
      </c>
      <c r="K15" s="61">
        <v>21.9</v>
      </c>
      <c r="L15" s="75">
        <v>492445</v>
      </c>
      <c r="M15" s="68"/>
      <c r="N15" s="68"/>
      <c r="O15" s="68" t="s">
        <v>65</v>
      </c>
      <c r="P15" s="83"/>
    </row>
    <row r="16" spans="1:17" ht="34.5" customHeight="1">
      <c r="A16" s="21">
        <v>14</v>
      </c>
      <c r="B16" s="464" t="s">
        <v>24</v>
      </c>
      <c r="C16" s="32" t="s">
        <v>13</v>
      </c>
      <c r="D16" s="14" t="s">
        <v>47</v>
      </c>
      <c r="E16" s="15">
        <v>53719</v>
      </c>
      <c r="F16" s="15">
        <v>53719</v>
      </c>
      <c r="G16" s="15">
        <v>30000</v>
      </c>
      <c r="H16" s="39">
        <f t="shared" si="0"/>
        <v>0.5584616243787115</v>
      </c>
      <c r="I16" s="15">
        <f t="shared" si="1"/>
        <v>32231.399999999998</v>
      </c>
      <c r="J16" s="45">
        <f>G16</f>
        <v>30000</v>
      </c>
      <c r="K16" s="62">
        <v>35.5</v>
      </c>
      <c r="L16" s="432">
        <v>371264</v>
      </c>
      <c r="M16" s="69">
        <f>J16*0.8</f>
        <v>24000</v>
      </c>
      <c r="N16" s="69">
        <f>J16*0.2</f>
        <v>6000</v>
      </c>
      <c r="O16" s="113">
        <f>SUM(M16:N16)</f>
        <v>30000</v>
      </c>
      <c r="P16" s="80"/>
    </row>
    <row r="17" spans="1:16" ht="34.5" customHeight="1" thickBot="1">
      <c r="A17" s="23">
        <v>15</v>
      </c>
      <c r="B17" s="467"/>
      <c r="C17" s="29" t="s">
        <v>14</v>
      </c>
      <c r="D17" s="30" t="s">
        <v>47</v>
      </c>
      <c r="E17" s="31">
        <v>407437.24</v>
      </c>
      <c r="F17" s="31">
        <v>272726.55</v>
      </c>
      <c r="G17" s="31">
        <v>60000</v>
      </c>
      <c r="H17" s="44">
        <f t="shared" si="0"/>
        <v>0.22000058300154496</v>
      </c>
      <c r="I17" s="31">
        <f>F17*0.6</f>
        <v>163635.93</v>
      </c>
      <c r="J17" s="50">
        <f>G17</f>
        <v>60000</v>
      </c>
      <c r="K17" s="63">
        <v>34.6</v>
      </c>
      <c r="L17" s="433"/>
      <c r="M17" s="66"/>
      <c r="N17" s="66"/>
      <c r="O17" s="66"/>
      <c r="P17" s="85" t="s">
        <v>57</v>
      </c>
    </row>
    <row r="18" spans="1:16" ht="25.5" customHeight="1" thickBot="1">
      <c r="L18" s="76" t="s">
        <v>63</v>
      </c>
      <c r="M18" s="78">
        <f>SUM(M3:M17)</f>
        <v>340291.7072</v>
      </c>
      <c r="N18" s="77">
        <f>SUM(N3:N17)</f>
        <v>204010.42680000002</v>
      </c>
      <c r="O18" s="77">
        <f>SUM(M18:N18)</f>
        <v>544302.13400000008</v>
      </c>
      <c r="P18" s="86"/>
    </row>
    <row r="19" spans="1:16">
      <c r="N19" s="101">
        <v>204010</v>
      </c>
    </row>
  </sheetData>
  <mergeCells count="9">
    <mergeCell ref="B16:B17"/>
    <mergeCell ref="L16:L17"/>
    <mergeCell ref="M1:N1"/>
    <mergeCell ref="B3:B7"/>
    <mergeCell ref="L3:L7"/>
    <mergeCell ref="B9:B10"/>
    <mergeCell ref="L9:L10"/>
    <mergeCell ref="B11:B14"/>
    <mergeCell ref="L11:L1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R19"/>
  <sheetViews>
    <sheetView topLeftCell="C1" zoomScale="70" zoomScaleNormal="70" workbookViewId="0">
      <selection activeCell="K3" sqref="K3:K17"/>
    </sheetView>
  </sheetViews>
  <sheetFormatPr baseColWidth="10" defaultRowHeight="14.25"/>
  <cols>
    <col min="1" max="1" width="7" style="4" customWidth="1"/>
    <col min="2" max="2" width="22.42578125" style="4" customWidth="1"/>
    <col min="3" max="3" width="46.7109375" style="1" customWidth="1"/>
    <col min="4" max="4" width="22.140625" style="11" customWidth="1"/>
    <col min="5" max="5" width="18.5703125" style="1" bestFit="1" customWidth="1"/>
    <col min="6" max="7" width="20.5703125" style="1" customWidth="1"/>
    <col min="8" max="8" width="20.5703125" style="37" customWidth="1"/>
    <col min="9" max="11" width="20.5703125" style="1" customWidth="1"/>
    <col min="12" max="15" width="20.5703125" style="65" customWidth="1"/>
    <col min="16" max="16" width="31.85546875" style="1" customWidth="1"/>
    <col min="17" max="16384" width="11.42578125" style="1"/>
  </cols>
  <sheetData>
    <row r="1" spans="1:18" ht="15" thickBot="1">
      <c r="M1" s="463" t="s">
        <v>62</v>
      </c>
      <c r="N1" s="463"/>
      <c r="O1" s="89"/>
    </row>
    <row r="2" spans="1:18" ht="71.25" customHeight="1" thickBot="1">
      <c r="A2" s="27" t="s">
        <v>49</v>
      </c>
      <c r="B2" s="20" t="s">
        <v>48</v>
      </c>
      <c r="C2" s="26" t="s">
        <v>5</v>
      </c>
      <c r="D2" s="25" t="s">
        <v>25</v>
      </c>
      <c r="E2" s="25" t="s">
        <v>26</v>
      </c>
      <c r="F2" s="25" t="s">
        <v>27</v>
      </c>
      <c r="G2" s="25" t="s">
        <v>28</v>
      </c>
      <c r="H2" s="38" t="s">
        <v>29</v>
      </c>
      <c r="I2" s="25" t="s">
        <v>50</v>
      </c>
      <c r="J2" s="36" t="s">
        <v>58</v>
      </c>
      <c r="K2" s="52" t="s">
        <v>30</v>
      </c>
      <c r="L2" s="74" t="s">
        <v>59</v>
      </c>
      <c r="M2" s="79" t="s">
        <v>60</v>
      </c>
      <c r="N2" s="79" t="s">
        <v>61</v>
      </c>
      <c r="O2" s="79" t="s">
        <v>64</v>
      </c>
      <c r="P2" s="51" t="s">
        <v>52</v>
      </c>
    </row>
    <row r="3" spans="1:18" ht="34.5" customHeight="1">
      <c r="A3" s="21">
        <v>1</v>
      </c>
      <c r="B3" s="464" t="s">
        <v>19</v>
      </c>
      <c r="C3" s="32" t="s">
        <v>35</v>
      </c>
      <c r="D3" s="14" t="s">
        <v>31</v>
      </c>
      <c r="E3" s="15">
        <v>57040</v>
      </c>
      <c r="F3" s="15">
        <v>57040</v>
      </c>
      <c r="G3" s="15">
        <v>57040</v>
      </c>
      <c r="H3" s="39">
        <f>G3/F3</f>
        <v>1</v>
      </c>
      <c r="I3" s="15">
        <f>F3*0.6</f>
        <v>34224</v>
      </c>
      <c r="J3" s="45">
        <f>G3*0.6</f>
        <v>34224</v>
      </c>
      <c r="K3" s="53">
        <v>53.9</v>
      </c>
      <c r="L3" s="432">
        <v>816040</v>
      </c>
      <c r="M3" s="69"/>
      <c r="N3" s="69"/>
      <c r="O3" s="69"/>
      <c r="P3" s="80"/>
    </row>
    <row r="4" spans="1:18" ht="34.5" customHeight="1">
      <c r="A4" s="22">
        <v>2</v>
      </c>
      <c r="B4" s="465"/>
      <c r="C4" s="33" t="s">
        <v>34</v>
      </c>
      <c r="D4" s="10" t="s">
        <v>32</v>
      </c>
      <c r="E4" s="9">
        <v>57040</v>
      </c>
      <c r="F4" s="9">
        <v>57040</v>
      </c>
      <c r="G4" s="9">
        <v>57040</v>
      </c>
      <c r="H4" s="40">
        <f t="shared" ref="H4:H17" si="0">G4/F4</f>
        <v>1</v>
      </c>
      <c r="I4" s="9">
        <f t="shared" ref="I4:J16" si="1">F4*0.6</f>
        <v>34224</v>
      </c>
      <c r="J4" s="46">
        <f t="shared" si="1"/>
        <v>34224</v>
      </c>
      <c r="K4" s="54">
        <v>52.8</v>
      </c>
      <c r="L4" s="438"/>
      <c r="M4" s="70"/>
      <c r="N4" s="70"/>
      <c r="O4" s="70"/>
      <c r="P4" s="81"/>
    </row>
    <row r="5" spans="1:18" ht="47.25" customHeight="1">
      <c r="A5" s="22">
        <v>3</v>
      </c>
      <c r="B5" s="465"/>
      <c r="C5" s="33" t="s">
        <v>36</v>
      </c>
      <c r="D5" s="10" t="s">
        <v>33</v>
      </c>
      <c r="E5" s="9">
        <v>84158.12</v>
      </c>
      <c r="F5" s="9">
        <v>84158.12</v>
      </c>
      <c r="G5" s="9">
        <v>84158.12</v>
      </c>
      <c r="H5" s="40">
        <f t="shared" si="0"/>
        <v>1</v>
      </c>
      <c r="I5" s="9">
        <f t="shared" si="1"/>
        <v>50494.871999999996</v>
      </c>
      <c r="J5" s="46">
        <f t="shared" si="1"/>
        <v>50494.871999999996</v>
      </c>
      <c r="K5" s="54">
        <v>35.1</v>
      </c>
      <c r="L5" s="438"/>
      <c r="M5" s="70"/>
      <c r="N5" s="70"/>
      <c r="O5" s="70"/>
      <c r="P5" s="81"/>
    </row>
    <row r="6" spans="1:18" ht="48.75" customHeight="1">
      <c r="A6" s="22">
        <v>4</v>
      </c>
      <c r="B6" s="465"/>
      <c r="C6" s="33" t="s">
        <v>1</v>
      </c>
      <c r="D6" s="10" t="s">
        <v>43</v>
      </c>
      <c r="E6" s="9">
        <v>199545.68</v>
      </c>
      <c r="F6" s="9">
        <v>199545.68</v>
      </c>
      <c r="G6" s="9">
        <v>119727.41</v>
      </c>
      <c r="H6" s="40">
        <f t="shared" si="0"/>
        <v>0.6000000100227677</v>
      </c>
      <c r="I6" s="9">
        <f t="shared" si="1"/>
        <v>119727.408</v>
      </c>
      <c r="J6" s="46">
        <f>I6</f>
        <v>119727.408</v>
      </c>
      <c r="K6" s="54">
        <v>49.2</v>
      </c>
      <c r="L6" s="438"/>
      <c r="M6" s="94">
        <f>J6*0.8</f>
        <v>95781.926399999997</v>
      </c>
      <c r="N6" s="70">
        <f>J6*0.2</f>
        <v>23945.481599999999</v>
      </c>
      <c r="O6" s="112">
        <f t="shared" ref="O6:O11" si="2">SUM(M6:N6)</f>
        <v>119727.408</v>
      </c>
      <c r="P6" s="81"/>
      <c r="Q6" s="1">
        <f t="shared" ref="Q6:Q17" si="3">M6/O6</f>
        <v>0.8</v>
      </c>
      <c r="R6" s="117">
        <f>N6/O6</f>
        <v>0.2</v>
      </c>
    </row>
    <row r="7" spans="1:18" ht="77.25" customHeight="1" thickBot="1">
      <c r="A7" s="23">
        <v>5</v>
      </c>
      <c r="B7" s="466"/>
      <c r="C7" s="34" t="s">
        <v>6</v>
      </c>
      <c r="D7" s="16" t="s">
        <v>42</v>
      </c>
      <c r="E7" s="17">
        <v>93305.79</v>
      </c>
      <c r="F7" s="17">
        <v>35752.03</v>
      </c>
      <c r="G7" s="17">
        <v>93305.79</v>
      </c>
      <c r="H7" s="41">
        <f t="shared" si="0"/>
        <v>2.6098039747673067</v>
      </c>
      <c r="I7" s="17">
        <f t="shared" si="1"/>
        <v>21451.217999999997</v>
      </c>
      <c r="J7" s="47">
        <f>I7</f>
        <v>21451.217999999997</v>
      </c>
      <c r="K7" s="55">
        <v>68</v>
      </c>
      <c r="L7" s="433"/>
      <c r="M7" s="94">
        <f>J7*0.8</f>
        <v>17160.974399999999</v>
      </c>
      <c r="N7" s="70">
        <f>J7*0.2</f>
        <v>4290.2435999999998</v>
      </c>
      <c r="O7" s="112">
        <f t="shared" si="2"/>
        <v>21451.218000000001</v>
      </c>
      <c r="P7" s="82" t="s">
        <v>56</v>
      </c>
      <c r="Q7" s="1">
        <f t="shared" si="3"/>
        <v>0.79999999999999993</v>
      </c>
      <c r="R7" s="117">
        <f t="shared" ref="R7:R17" si="4">N7/O7</f>
        <v>0.19999999999999998</v>
      </c>
    </row>
    <row r="8" spans="1:18" ht="34.5" customHeight="1" thickBot="1">
      <c r="A8" s="24">
        <v>6</v>
      </c>
      <c r="B8" s="28" t="s">
        <v>20</v>
      </c>
      <c r="C8" s="35" t="s">
        <v>7</v>
      </c>
      <c r="D8" s="18" t="s">
        <v>41</v>
      </c>
      <c r="E8" s="19">
        <v>106591.21</v>
      </c>
      <c r="F8" s="19">
        <v>106591.21</v>
      </c>
      <c r="G8" s="19">
        <v>106591.21</v>
      </c>
      <c r="H8" s="42">
        <f t="shared" si="0"/>
        <v>1</v>
      </c>
      <c r="I8" s="19">
        <f t="shared" si="1"/>
        <v>63954.726000000002</v>
      </c>
      <c r="J8" s="48">
        <f t="shared" si="1"/>
        <v>63954.726000000002</v>
      </c>
      <c r="K8" s="56">
        <v>33.299999999999997</v>
      </c>
      <c r="L8" s="75">
        <v>440510</v>
      </c>
      <c r="M8" s="68">
        <f>J8*0.8</f>
        <v>51163.780800000008</v>
      </c>
      <c r="N8" s="68">
        <f>J8*0.2</f>
        <v>12790.945200000002</v>
      </c>
      <c r="O8" s="111">
        <f t="shared" si="2"/>
        <v>63954.72600000001</v>
      </c>
      <c r="P8" s="83"/>
      <c r="Q8" s="1">
        <f t="shared" si="3"/>
        <v>0.8</v>
      </c>
      <c r="R8" s="117">
        <f t="shared" si="4"/>
        <v>0.2</v>
      </c>
    </row>
    <row r="9" spans="1:18" ht="34.5" customHeight="1">
      <c r="A9" s="21">
        <v>7</v>
      </c>
      <c r="B9" s="464" t="s">
        <v>21</v>
      </c>
      <c r="C9" s="32" t="s">
        <v>8</v>
      </c>
      <c r="D9" s="12" t="s">
        <v>40</v>
      </c>
      <c r="E9" s="15">
        <v>1458385.9</v>
      </c>
      <c r="F9" s="15" t="s">
        <v>53</v>
      </c>
      <c r="G9" s="15">
        <v>147104.44</v>
      </c>
      <c r="H9" s="39">
        <v>1</v>
      </c>
      <c r="I9" s="15">
        <f>G9*0.6</f>
        <v>88262.664000000004</v>
      </c>
      <c r="J9" s="45">
        <f>I9</f>
        <v>88262.664000000004</v>
      </c>
      <c r="K9" s="57">
        <v>52.6</v>
      </c>
      <c r="L9" s="432">
        <v>65000</v>
      </c>
      <c r="M9" s="87">
        <f>J9*0.2</f>
        <v>17652.532800000001</v>
      </c>
      <c r="N9" s="96">
        <f>J9*0.8</f>
        <v>70610.131200000003</v>
      </c>
      <c r="O9" s="87">
        <f t="shared" si="2"/>
        <v>88262.664000000004</v>
      </c>
      <c r="P9" s="84" t="s">
        <v>51</v>
      </c>
      <c r="Q9" s="1">
        <f t="shared" si="3"/>
        <v>0.2</v>
      </c>
      <c r="R9" s="117">
        <f t="shared" si="4"/>
        <v>0.8</v>
      </c>
    </row>
    <row r="10" spans="1:18" ht="34.5" customHeight="1" thickBot="1">
      <c r="A10" s="23">
        <v>8</v>
      </c>
      <c r="B10" s="466"/>
      <c r="C10" s="34" t="s">
        <v>9</v>
      </c>
      <c r="D10" s="16" t="s">
        <v>39</v>
      </c>
      <c r="E10" s="13">
        <v>2976464.92</v>
      </c>
      <c r="F10" s="13">
        <v>2976464.92</v>
      </c>
      <c r="G10" s="13">
        <v>1020050</v>
      </c>
      <c r="H10" s="43">
        <f t="shared" ref="H10" si="5">G10/F10</f>
        <v>0.34270519808444444</v>
      </c>
      <c r="I10" s="13">
        <f t="shared" si="1"/>
        <v>1785878.9519999998</v>
      </c>
      <c r="J10" s="49">
        <f>G10</f>
        <v>1020050</v>
      </c>
      <c r="K10" s="58">
        <v>85.1</v>
      </c>
      <c r="L10" s="433"/>
      <c r="M10" s="115">
        <f>L9-M9</f>
        <v>47347.467199999999</v>
      </c>
      <c r="N10" s="116">
        <f>80*M10/20</f>
        <v>189389.8688</v>
      </c>
      <c r="O10" s="118">
        <f t="shared" si="2"/>
        <v>236737.33600000001</v>
      </c>
      <c r="P10" s="82"/>
      <c r="Q10" s="1">
        <f>M10/O10</f>
        <v>0.19999999999999998</v>
      </c>
      <c r="R10" s="117">
        <f t="shared" si="4"/>
        <v>0.79999999999999993</v>
      </c>
    </row>
    <row r="11" spans="1:18" ht="49.5" customHeight="1">
      <c r="A11" s="21">
        <v>9</v>
      </c>
      <c r="B11" s="464" t="s">
        <v>22</v>
      </c>
      <c r="C11" s="32" t="s">
        <v>10</v>
      </c>
      <c r="D11" s="14" t="s">
        <v>38</v>
      </c>
      <c r="E11" s="15">
        <v>1049897.1299999999</v>
      </c>
      <c r="F11" s="15">
        <v>1049897.1299999999</v>
      </c>
      <c r="G11" s="15">
        <v>1049897.1299999999</v>
      </c>
      <c r="H11" s="39">
        <f t="shared" si="0"/>
        <v>1</v>
      </c>
      <c r="I11" s="15">
        <f t="shared" si="1"/>
        <v>629938.27799999993</v>
      </c>
      <c r="J11" s="45">
        <f t="shared" si="1"/>
        <v>629938.27799999993</v>
      </c>
      <c r="K11" s="59">
        <v>80.5</v>
      </c>
      <c r="L11" s="432">
        <v>104346</v>
      </c>
      <c r="M11" s="87">
        <f>L11-M14</f>
        <v>35481.010800000004</v>
      </c>
      <c r="N11" s="97">
        <f>80*M11/20</f>
        <v>141924.04320000001</v>
      </c>
      <c r="O11" s="87">
        <f t="shared" si="2"/>
        <v>177405.054</v>
      </c>
      <c r="P11" s="80"/>
      <c r="Q11" s="1">
        <f t="shared" si="3"/>
        <v>0.2</v>
      </c>
      <c r="R11" s="117">
        <f t="shared" si="4"/>
        <v>0.8</v>
      </c>
    </row>
    <row r="12" spans="1:18" ht="34.5" customHeight="1">
      <c r="A12" s="22">
        <v>10</v>
      </c>
      <c r="B12" s="465"/>
      <c r="C12" s="33" t="s">
        <v>55</v>
      </c>
      <c r="D12" s="10" t="s">
        <v>37</v>
      </c>
      <c r="E12" s="9">
        <v>79638.350000000006</v>
      </c>
      <c r="F12" s="9">
        <v>79638.350000000006</v>
      </c>
      <c r="G12" s="9">
        <v>50000</v>
      </c>
      <c r="H12" s="40">
        <f t="shared" si="0"/>
        <v>0.62783822115852472</v>
      </c>
      <c r="I12" s="9">
        <f t="shared" si="1"/>
        <v>47783.01</v>
      </c>
      <c r="J12" s="46">
        <f>I12</f>
        <v>47783.01</v>
      </c>
      <c r="K12" s="54">
        <v>35.4</v>
      </c>
      <c r="L12" s="438"/>
      <c r="M12" s="72"/>
      <c r="N12" s="72"/>
      <c r="O12" s="72"/>
      <c r="P12" s="81"/>
      <c r="Q12" s="1" t="e">
        <f t="shared" si="3"/>
        <v>#DIV/0!</v>
      </c>
      <c r="R12" s="117" t="e">
        <f t="shared" si="4"/>
        <v>#DIV/0!</v>
      </c>
    </row>
    <row r="13" spans="1:18" ht="45.75" customHeight="1">
      <c r="A13" s="22">
        <v>11</v>
      </c>
      <c r="B13" s="465"/>
      <c r="C13" s="33" t="s">
        <v>54</v>
      </c>
      <c r="D13" s="10" t="s">
        <v>44</v>
      </c>
      <c r="E13" s="9">
        <v>119804.82</v>
      </c>
      <c r="F13" s="9">
        <v>119804.82</v>
      </c>
      <c r="G13" s="9">
        <v>71882.41</v>
      </c>
      <c r="H13" s="40">
        <f t="shared" si="0"/>
        <v>0.59999597678958161</v>
      </c>
      <c r="I13" s="9">
        <f t="shared" si="1"/>
        <v>71882.892000000007</v>
      </c>
      <c r="J13" s="46">
        <f>I13</f>
        <v>71882.892000000007</v>
      </c>
      <c r="K13" s="54">
        <v>39.700000000000003</v>
      </c>
      <c r="L13" s="438"/>
      <c r="M13" s="87"/>
      <c r="N13" s="87"/>
      <c r="O13" s="87"/>
      <c r="P13" s="81"/>
      <c r="Q13" s="1" t="e">
        <f t="shared" si="3"/>
        <v>#DIV/0!</v>
      </c>
      <c r="R13" s="117" t="e">
        <f t="shared" si="4"/>
        <v>#DIV/0!</v>
      </c>
    </row>
    <row r="14" spans="1:18" ht="51.75" customHeight="1" thickBot="1">
      <c r="A14" s="23">
        <v>12</v>
      </c>
      <c r="B14" s="466"/>
      <c r="C14" s="34" t="s">
        <v>12</v>
      </c>
      <c r="D14" s="16" t="s">
        <v>45</v>
      </c>
      <c r="E14" s="17">
        <v>163964.26</v>
      </c>
      <c r="F14" s="17">
        <v>163964.26</v>
      </c>
      <c r="G14" s="17">
        <f t="shared" ref="G14" si="6">E14*0.6</f>
        <v>98378.555999999997</v>
      </c>
      <c r="H14" s="41">
        <f t="shared" si="0"/>
        <v>0.6</v>
      </c>
      <c r="I14" s="17">
        <f t="shared" si="1"/>
        <v>98378.555999999997</v>
      </c>
      <c r="J14" s="47">
        <f>I14</f>
        <v>98378.555999999997</v>
      </c>
      <c r="K14" s="60">
        <v>77</v>
      </c>
      <c r="L14" s="433"/>
      <c r="M14" s="87">
        <f>J14*0.7</f>
        <v>68864.989199999996</v>
      </c>
      <c r="N14" s="96">
        <f>M14*30/70</f>
        <v>29513.566800000001</v>
      </c>
      <c r="O14" s="114">
        <f>SUM(M14:N14)</f>
        <v>98378.555999999997</v>
      </c>
      <c r="P14" s="84"/>
      <c r="Q14" s="1">
        <f t="shared" si="3"/>
        <v>0.7</v>
      </c>
      <c r="R14" s="117">
        <f t="shared" si="4"/>
        <v>0.3</v>
      </c>
    </row>
    <row r="15" spans="1:18" ht="62.25" customHeight="1" thickBot="1">
      <c r="A15" s="24">
        <v>13</v>
      </c>
      <c r="B15" s="28" t="s">
        <v>23</v>
      </c>
      <c r="C15" s="35" t="s">
        <v>0</v>
      </c>
      <c r="D15" s="18" t="s">
        <v>46</v>
      </c>
      <c r="E15" s="19">
        <v>157680.5</v>
      </c>
      <c r="F15" s="19">
        <v>157680.5</v>
      </c>
      <c r="G15" s="19">
        <v>114476.05</v>
      </c>
      <c r="H15" s="42">
        <f t="shared" si="0"/>
        <v>0.72600004439356802</v>
      </c>
      <c r="I15" s="19">
        <f t="shared" si="1"/>
        <v>94608.3</v>
      </c>
      <c r="J15" s="48">
        <f>I15</f>
        <v>94608.3</v>
      </c>
      <c r="K15" s="61">
        <v>21.9</v>
      </c>
      <c r="L15" s="75">
        <v>492445</v>
      </c>
      <c r="M15" s="68"/>
      <c r="N15" s="68"/>
      <c r="O15" s="68" t="s">
        <v>65</v>
      </c>
      <c r="P15" s="83"/>
      <c r="Q15" s="1" t="e">
        <f t="shared" si="3"/>
        <v>#VALUE!</v>
      </c>
      <c r="R15" s="117" t="e">
        <f t="shared" si="4"/>
        <v>#VALUE!</v>
      </c>
    </row>
    <row r="16" spans="1:18" ht="34.5" customHeight="1">
      <c r="A16" s="21">
        <v>14</v>
      </c>
      <c r="B16" s="464" t="s">
        <v>24</v>
      </c>
      <c r="C16" s="32" t="s">
        <v>13</v>
      </c>
      <c r="D16" s="14" t="s">
        <v>47</v>
      </c>
      <c r="E16" s="15">
        <v>53719</v>
      </c>
      <c r="F16" s="15">
        <v>53719</v>
      </c>
      <c r="G16" s="15">
        <v>30000</v>
      </c>
      <c r="H16" s="39">
        <f t="shared" si="0"/>
        <v>0.5584616243787115</v>
      </c>
      <c r="I16" s="15">
        <f t="shared" si="1"/>
        <v>32231.399999999998</v>
      </c>
      <c r="J16" s="45">
        <f>G16</f>
        <v>30000</v>
      </c>
      <c r="K16" s="62">
        <v>35.5</v>
      </c>
      <c r="L16" s="432">
        <v>371264</v>
      </c>
      <c r="M16" s="87">
        <f>J16*0.8</f>
        <v>24000</v>
      </c>
      <c r="N16" s="87">
        <f>J16*0.2</f>
        <v>6000</v>
      </c>
      <c r="O16" s="114">
        <f>SUM(M16:N16)</f>
        <v>30000</v>
      </c>
      <c r="P16" s="80"/>
      <c r="Q16" s="1">
        <f t="shared" si="3"/>
        <v>0.8</v>
      </c>
      <c r="R16" s="117">
        <f t="shared" si="4"/>
        <v>0.2</v>
      </c>
    </row>
    <row r="17" spans="1:18" ht="34.5" customHeight="1" thickBot="1">
      <c r="A17" s="23">
        <v>15</v>
      </c>
      <c r="B17" s="467"/>
      <c r="C17" s="29" t="s">
        <v>14</v>
      </c>
      <c r="D17" s="30" t="s">
        <v>47</v>
      </c>
      <c r="E17" s="31">
        <v>407437.24</v>
      </c>
      <c r="F17" s="31">
        <v>272726.55</v>
      </c>
      <c r="G17" s="31">
        <v>60000</v>
      </c>
      <c r="H17" s="44">
        <f t="shared" si="0"/>
        <v>0.22000058300154496</v>
      </c>
      <c r="I17" s="31">
        <f>F17*0.6</f>
        <v>163635.93</v>
      </c>
      <c r="J17" s="50">
        <f>G17</f>
        <v>60000</v>
      </c>
      <c r="K17" s="63">
        <v>34.6</v>
      </c>
      <c r="L17" s="433"/>
      <c r="M17" s="87">
        <f>J17*0.8</f>
        <v>48000</v>
      </c>
      <c r="N17" s="87">
        <f>J17*0.2</f>
        <v>12000</v>
      </c>
      <c r="O17" s="114">
        <f>SUM(M17:N17)</f>
        <v>60000</v>
      </c>
      <c r="P17" s="85" t="s">
        <v>57</v>
      </c>
      <c r="Q17" s="1">
        <f t="shared" si="3"/>
        <v>0.8</v>
      </c>
      <c r="R17" s="117">
        <f t="shared" si="4"/>
        <v>0.2</v>
      </c>
    </row>
    <row r="18" spans="1:18" ht="25.5" customHeight="1" thickBot="1">
      <c r="L18" s="76" t="s">
        <v>63</v>
      </c>
      <c r="M18" s="78">
        <f>SUM(M3:M17)</f>
        <v>405452.68160000001</v>
      </c>
      <c r="N18" s="77">
        <f>SUM(N3:N17)</f>
        <v>490464.28040000005</v>
      </c>
      <c r="O18" s="77">
        <f>SUM(M18:N18)</f>
        <v>895916.96200000006</v>
      </c>
      <c r="P18" s="86"/>
    </row>
    <row r="19" spans="1:18">
      <c r="N19" s="101">
        <v>204010</v>
      </c>
    </row>
  </sheetData>
  <mergeCells count="9">
    <mergeCell ref="B16:B17"/>
    <mergeCell ref="L16:L17"/>
    <mergeCell ref="M1:N1"/>
    <mergeCell ref="B3:B7"/>
    <mergeCell ref="L3:L7"/>
    <mergeCell ref="B9:B10"/>
    <mergeCell ref="L9:L10"/>
    <mergeCell ref="B11:B14"/>
    <mergeCell ref="L11:L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Q18"/>
  <sheetViews>
    <sheetView topLeftCell="E7" zoomScale="70" zoomScaleNormal="70" workbookViewId="0">
      <selection activeCell="K3" sqref="K3:K17"/>
    </sheetView>
  </sheetViews>
  <sheetFormatPr baseColWidth="10" defaultRowHeight="14.25"/>
  <cols>
    <col min="1" max="1" width="7" style="4" customWidth="1"/>
    <col min="2" max="2" width="22.42578125" style="4" customWidth="1"/>
    <col min="3" max="3" width="46.7109375" style="1" customWidth="1"/>
    <col min="4" max="4" width="22.140625" style="11" customWidth="1"/>
    <col min="5" max="5" width="18.5703125" style="1" bestFit="1" customWidth="1"/>
    <col min="6" max="7" width="20.5703125" style="1" customWidth="1"/>
    <col min="8" max="8" width="20.5703125" style="37" customWidth="1"/>
    <col min="9" max="11" width="20.5703125" style="1" customWidth="1"/>
    <col min="12" max="15" width="20.5703125" style="65" customWidth="1"/>
    <col min="16" max="16" width="31.85546875" style="1" customWidth="1"/>
    <col min="17" max="16384" width="11.42578125" style="1"/>
  </cols>
  <sheetData>
    <row r="1" spans="1:17" ht="15" thickBot="1">
      <c r="M1" s="463" t="s">
        <v>62</v>
      </c>
      <c r="N1" s="463"/>
      <c r="O1" s="89"/>
    </row>
    <row r="2" spans="1:17" ht="71.25" customHeight="1" thickBot="1">
      <c r="A2" s="27" t="s">
        <v>49</v>
      </c>
      <c r="B2" s="20" t="s">
        <v>48</v>
      </c>
      <c r="C2" s="26" t="s">
        <v>5</v>
      </c>
      <c r="D2" s="25" t="s">
        <v>25</v>
      </c>
      <c r="E2" s="25" t="s">
        <v>26</v>
      </c>
      <c r="F2" s="25" t="s">
        <v>27</v>
      </c>
      <c r="G2" s="25" t="s">
        <v>28</v>
      </c>
      <c r="H2" s="38" t="s">
        <v>29</v>
      </c>
      <c r="I2" s="25" t="s">
        <v>50</v>
      </c>
      <c r="J2" s="36" t="s">
        <v>58</v>
      </c>
      <c r="K2" s="52" t="s">
        <v>30</v>
      </c>
      <c r="L2" s="74" t="s">
        <v>59</v>
      </c>
      <c r="M2" s="79" t="s">
        <v>60</v>
      </c>
      <c r="N2" s="79" t="s">
        <v>61</v>
      </c>
      <c r="O2" s="79" t="s">
        <v>64</v>
      </c>
      <c r="P2" s="51" t="s">
        <v>52</v>
      </c>
    </row>
    <row r="3" spans="1:17" ht="34.5" customHeight="1">
      <c r="A3" s="21">
        <v>1</v>
      </c>
      <c r="B3" s="464" t="s">
        <v>19</v>
      </c>
      <c r="C3" s="32" t="s">
        <v>35</v>
      </c>
      <c r="D3" s="14" t="s">
        <v>31</v>
      </c>
      <c r="E3" s="15">
        <v>57040</v>
      </c>
      <c r="F3" s="15">
        <v>57040</v>
      </c>
      <c r="G3" s="15">
        <v>57040</v>
      </c>
      <c r="H3" s="39">
        <f>G3/F3</f>
        <v>1</v>
      </c>
      <c r="I3" s="15">
        <f>F3*0.6</f>
        <v>34224</v>
      </c>
      <c r="J3" s="45">
        <f>G3*0.6</f>
        <v>34224</v>
      </c>
      <c r="K3" s="53">
        <v>53.9</v>
      </c>
      <c r="L3" s="432">
        <v>816040</v>
      </c>
      <c r="M3" s="69"/>
      <c r="N3" s="69"/>
      <c r="O3" s="69"/>
      <c r="P3" s="80"/>
    </row>
    <row r="4" spans="1:17" ht="34.5" customHeight="1">
      <c r="A4" s="22">
        <v>2</v>
      </c>
      <c r="B4" s="465"/>
      <c r="C4" s="33" t="s">
        <v>34</v>
      </c>
      <c r="D4" s="10" t="s">
        <v>32</v>
      </c>
      <c r="E4" s="9">
        <v>57040</v>
      </c>
      <c r="F4" s="9">
        <v>57040</v>
      </c>
      <c r="G4" s="9">
        <v>57040</v>
      </c>
      <c r="H4" s="40">
        <f t="shared" ref="H4:H17" si="0">G4/F4</f>
        <v>1</v>
      </c>
      <c r="I4" s="9">
        <f t="shared" ref="I4:J16" si="1">F4*0.6</f>
        <v>34224</v>
      </c>
      <c r="J4" s="46">
        <f t="shared" si="1"/>
        <v>34224</v>
      </c>
      <c r="K4" s="54">
        <v>52.8</v>
      </c>
      <c r="L4" s="438"/>
      <c r="M4" s="70"/>
      <c r="N4" s="70"/>
      <c r="O4" s="70"/>
      <c r="P4" s="81"/>
    </row>
    <row r="5" spans="1:17" ht="47.25" customHeight="1">
      <c r="A5" s="22">
        <v>3</v>
      </c>
      <c r="B5" s="465"/>
      <c r="C5" s="33" t="s">
        <v>36</v>
      </c>
      <c r="D5" s="10" t="s">
        <v>33</v>
      </c>
      <c r="E5" s="9">
        <v>84158.12</v>
      </c>
      <c r="F5" s="9">
        <v>84158.12</v>
      </c>
      <c r="G5" s="9">
        <v>84158.12</v>
      </c>
      <c r="H5" s="40">
        <f t="shared" si="0"/>
        <v>1</v>
      </c>
      <c r="I5" s="9">
        <f t="shared" si="1"/>
        <v>50494.871999999996</v>
      </c>
      <c r="J5" s="46">
        <f t="shared" si="1"/>
        <v>50494.871999999996</v>
      </c>
      <c r="K5" s="54">
        <v>35.1</v>
      </c>
      <c r="L5" s="438"/>
      <c r="M5" s="70"/>
      <c r="N5" s="70"/>
      <c r="O5" s="70"/>
      <c r="P5" s="81"/>
    </row>
    <row r="6" spans="1:17" ht="48.75" customHeight="1">
      <c r="A6" s="22">
        <v>4</v>
      </c>
      <c r="B6" s="465"/>
      <c r="C6" s="33" t="s">
        <v>1</v>
      </c>
      <c r="D6" s="10" t="s">
        <v>43</v>
      </c>
      <c r="E6" s="9">
        <v>199545.68</v>
      </c>
      <c r="F6" s="9">
        <v>199545.68</v>
      </c>
      <c r="G6" s="9">
        <v>119727.41</v>
      </c>
      <c r="H6" s="40">
        <f t="shared" si="0"/>
        <v>0.6000000100227677</v>
      </c>
      <c r="I6" s="9">
        <f t="shared" si="1"/>
        <v>119727.408</v>
      </c>
      <c r="J6" s="106">
        <f>F6</f>
        <v>199545.68</v>
      </c>
      <c r="K6" s="54">
        <v>49.2</v>
      </c>
      <c r="L6" s="438"/>
      <c r="M6" s="94">
        <f>J6*0.8</f>
        <v>159636.54399999999</v>
      </c>
      <c r="N6" s="70">
        <f>J6*0.2</f>
        <v>39909.135999999999</v>
      </c>
      <c r="O6" s="70">
        <f>SUM(M6:N6)</f>
        <v>199545.68</v>
      </c>
      <c r="P6" s="81"/>
    </row>
    <row r="7" spans="1:17" ht="77.25" customHeight="1" thickBot="1">
      <c r="A7" s="23">
        <v>5</v>
      </c>
      <c r="B7" s="466"/>
      <c r="C7" s="34" t="s">
        <v>6</v>
      </c>
      <c r="D7" s="16" t="s">
        <v>42</v>
      </c>
      <c r="E7" s="17">
        <v>93305.79</v>
      </c>
      <c r="F7" s="17">
        <v>29572.06</v>
      </c>
      <c r="G7" s="17">
        <v>29572.06</v>
      </c>
      <c r="H7" s="41">
        <f t="shared" si="0"/>
        <v>1</v>
      </c>
      <c r="I7" s="17">
        <f t="shared" si="1"/>
        <v>17743.236000000001</v>
      </c>
      <c r="J7" s="47">
        <f t="shared" si="1"/>
        <v>17743.236000000001</v>
      </c>
      <c r="K7" s="55">
        <v>68</v>
      </c>
      <c r="L7" s="433"/>
      <c r="M7" s="67"/>
      <c r="N7" s="67"/>
      <c r="O7" s="67"/>
      <c r="P7" s="82" t="s">
        <v>56</v>
      </c>
    </row>
    <row r="8" spans="1:17" ht="34.5" customHeight="1" thickBot="1">
      <c r="A8" s="24">
        <v>6</v>
      </c>
      <c r="B8" s="28" t="s">
        <v>20</v>
      </c>
      <c r="C8" s="35" t="s">
        <v>7</v>
      </c>
      <c r="D8" s="18" t="s">
        <v>41</v>
      </c>
      <c r="E8" s="19">
        <v>106591.21</v>
      </c>
      <c r="F8" s="19">
        <v>106591.21</v>
      </c>
      <c r="G8" s="19">
        <v>106591.21</v>
      </c>
      <c r="H8" s="42">
        <f t="shared" si="0"/>
        <v>1</v>
      </c>
      <c r="I8" s="19">
        <f t="shared" si="1"/>
        <v>63954.726000000002</v>
      </c>
      <c r="J8" s="107">
        <f>G8</f>
        <v>106591.21</v>
      </c>
      <c r="K8" s="56">
        <v>33.299999999999997</v>
      </c>
      <c r="L8" s="75">
        <v>440510</v>
      </c>
      <c r="M8" s="68">
        <f>J8*0.8</f>
        <v>85272.968000000008</v>
      </c>
      <c r="N8" s="68">
        <f>J8*0.2</f>
        <v>21318.242000000002</v>
      </c>
      <c r="O8" s="68">
        <f>SUM(M8:N8)</f>
        <v>106591.21</v>
      </c>
      <c r="P8" s="83"/>
    </row>
    <row r="9" spans="1:17" ht="34.5" customHeight="1">
      <c r="A9" s="21">
        <v>7</v>
      </c>
      <c r="B9" s="464" t="s">
        <v>21</v>
      </c>
      <c r="C9" s="32" t="s">
        <v>8</v>
      </c>
      <c r="D9" s="12" t="s">
        <v>40</v>
      </c>
      <c r="E9" s="15">
        <v>1458385.9</v>
      </c>
      <c r="F9" s="15" t="s">
        <v>53</v>
      </c>
      <c r="G9" s="15">
        <v>147104.44</v>
      </c>
      <c r="H9" s="39">
        <v>1</v>
      </c>
      <c r="I9" s="15">
        <f>G9*0.6</f>
        <v>88262.664000000004</v>
      </c>
      <c r="J9" s="45">
        <f>I9</f>
        <v>88262.664000000004</v>
      </c>
      <c r="K9" s="57">
        <v>52.6</v>
      </c>
      <c r="L9" s="432">
        <v>65000</v>
      </c>
      <c r="M9" s="71"/>
      <c r="N9" s="71"/>
      <c r="O9" s="72"/>
      <c r="P9" s="84" t="s">
        <v>51</v>
      </c>
    </row>
    <row r="10" spans="1:17" ht="34.5" customHeight="1" thickBot="1">
      <c r="A10" s="23">
        <v>8</v>
      </c>
      <c r="B10" s="466"/>
      <c r="C10" s="34" t="s">
        <v>9</v>
      </c>
      <c r="D10" s="16" t="s">
        <v>39</v>
      </c>
      <c r="E10" s="13">
        <v>2976464.92</v>
      </c>
      <c r="F10" s="13">
        <v>2976464.92</v>
      </c>
      <c r="G10" s="13">
        <v>1020050</v>
      </c>
      <c r="H10" s="43">
        <f t="shared" ref="H10" si="2">G10/F10</f>
        <v>0.34270519808444444</v>
      </c>
      <c r="I10" s="13">
        <f t="shared" si="1"/>
        <v>1785878.9519999998</v>
      </c>
      <c r="J10" s="49">
        <f>G10</f>
        <v>1020050</v>
      </c>
      <c r="K10" s="58">
        <v>85.1</v>
      </c>
      <c r="L10" s="433"/>
      <c r="M10" s="67">
        <v>65000</v>
      </c>
      <c r="N10" s="109"/>
      <c r="O10" s="67"/>
      <c r="P10" s="82"/>
      <c r="Q10" s="64"/>
    </row>
    <row r="11" spans="1:17" ht="49.5" customHeight="1">
      <c r="A11" s="21">
        <v>9</v>
      </c>
      <c r="B11" s="464" t="s">
        <v>22</v>
      </c>
      <c r="C11" s="32" t="s">
        <v>10</v>
      </c>
      <c r="D11" s="14" t="s">
        <v>38</v>
      </c>
      <c r="E11" s="15">
        <v>1049897.1299999999</v>
      </c>
      <c r="F11" s="15">
        <v>1049897.1299999999</v>
      </c>
      <c r="G11" s="15">
        <v>1049897.1299999999</v>
      </c>
      <c r="H11" s="39">
        <f t="shared" si="0"/>
        <v>1</v>
      </c>
      <c r="I11" s="15">
        <f t="shared" si="1"/>
        <v>629938.27799999993</v>
      </c>
      <c r="J11" s="45">
        <f t="shared" si="1"/>
        <v>629938.27799999993</v>
      </c>
      <c r="K11" s="59">
        <v>80.5</v>
      </c>
      <c r="L11" s="432">
        <v>104346</v>
      </c>
      <c r="M11" s="69">
        <v>104346</v>
      </c>
      <c r="N11" s="110"/>
      <c r="O11" s="69">
        <f>SUM(M11:N11)</f>
        <v>104346</v>
      </c>
      <c r="P11" s="80"/>
    </row>
    <row r="12" spans="1:17" ht="34.5" customHeight="1">
      <c r="A12" s="22">
        <v>10</v>
      </c>
      <c r="B12" s="465"/>
      <c r="C12" s="33" t="s">
        <v>55</v>
      </c>
      <c r="D12" s="10" t="s">
        <v>37</v>
      </c>
      <c r="E12" s="9">
        <v>79638.350000000006</v>
      </c>
      <c r="F12" s="9">
        <v>79638.350000000006</v>
      </c>
      <c r="G12" s="9">
        <v>50000</v>
      </c>
      <c r="H12" s="40">
        <f t="shared" si="0"/>
        <v>0.62783822115852472</v>
      </c>
      <c r="I12" s="9">
        <f t="shared" si="1"/>
        <v>47783.01</v>
      </c>
      <c r="J12" s="46">
        <f>I12</f>
        <v>47783.01</v>
      </c>
      <c r="K12" s="54">
        <v>35.4</v>
      </c>
      <c r="L12" s="438"/>
      <c r="M12" s="72"/>
      <c r="N12" s="72"/>
      <c r="O12" s="72"/>
      <c r="P12" s="81"/>
    </row>
    <row r="13" spans="1:17" ht="45.75" customHeight="1">
      <c r="A13" s="22">
        <v>11</v>
      </c>
      <c r="B13" s="465"/>
      <c r="C13" s="33" t="s">
        <v>54</v>
      </c>
      <c r="D13" s="10" t="s">
        <v>44</v>
      </c>
      <c r="E13" s="9">
        <v>119804.82</v>
      </c>
      <c r="F13" s="9">
        <v>119804.82</v>
      </c>
      <c r="G13" s="9">
        <v>71882.41</v>
      </c>
      <c r="H13" s="40">
        <f t="shared" si="0"/>
        <v>0.59999597678958161</v>
      </c>
      <c r="I13" s="9">
        <f t="shared" si="1"/>
        <v>71882.892000000007</v>
      </c>
      <c r="J13" s="46">
        <f>I13</f>
        <v>71882.892000000007</v>
      </c>
      <c r="K13" s="54">
        <v>39.700000000000003</v>
      </c>
      <c r="L13" s="438"/>
      <c r="M13" s="73"/>
      <c r="N13" s="73"/>
      <c r="O13" s="73"/>
      <c r="P13" s="81"/>
    </row>
    <row r="14" spans="1:17" ht="51.75" customHeight="1" thickBot="1">
      <c r="A14" s="23">
        <v>12</v>
      </c>
      <c r="B14" s="466"/>
      <c r="C14" s="34" t="s">
        <v>12</v>
      </c>
      <c r="D14" s="16" t="s">
        <v>45</v>
      </c>
      <c r="E14" s="17">
        <v>163964.26</v>
      </c>
      <c r="F14" s="17">
        <v>163964.26</v>
      </c>
      <c r="G14" s="17">
        <f t="shared" ref="G14" si="3">E14*0.6</f>
        <v>98378.555999999997</v>
      </c>
      <c r="H14" s="41">
        <f t="shared" si="0"/>
        <v>0.6</v>
      </c>
      <c r="I14" s="17">
        <f t="shared" si="1"/>
        <v>98378.555999999997</v>
      </c>
      <c r="J14" s="47">
        <f>I14</f>
        <v>98378.555999999997</v>
      </c>
      <c r="K14" s="60">
        <v>77</v>
      </c>
      <c r="L14" s="433"/>
      <c r="M14" s="66"/>
      <c r="N14" s="66"/>
      <c r="O14" s="66"/>
      <c r="P14" s="82"/>
    </row>
    <row r="15" spans="1:17" ht="62.25" customHeight="1" thickBot="1">
      <c r="A15" s="24">
        <v>13</v>
      </c>
      <c r="B15" s="28" t="s">
        <v>23</v>
      </c>
      <c r="C15" s="35" t="s">
        <v>0</v>
      </c>
      <c r="D15" s="18" t="s">
        <v>46</v>
      </c>
      <c r="E15" s="19">
        <v>157680.5</v>
      </c>
      <c r="F15" s="19">
        <v>157680.5</v>
      </c>
      <c r="G15" s="19">
        <v>114476.05</v>
      </c>
      <c r="H15" s="42">
        <f t="shared" si="0"/>
        <v>0.72600004439356802</v>
      </c>
      <c r="I15" s="19">
        <f t="shared" si="1"/>
        <v>94608.3</v>
      </c>
      <c r="J15" s="107">
        <f>G15</f>
        <v>114476.05</v>
      </c>
      <c r="K15" s="61">
        <v>21.9</v>
      </c>
      <c r="L15" s="75">
        <v>492445</v>
      </c>
      <c r="M15" s="68">
        <f>J15*0.8</f>
        <v>91580.840000000011</v>
      </c>
      <c r="N15" s="68">
        <f>J15*0.2</f>
        <v>22895.210000000003</v>
      </c>
      <c r="O15" s="68">
        <f>SUM(M15:N15)</f>
        <v>114476.05000000002</v>
      </c>
      <c r="P15" s="83"/>
    </row>
    <row r="16" spans="1:17" ht="34.5" customHeight="1">
      <c r="A16" s="21">
        <v>14</v>
      </c>
      <c r="B16" s="464" t="s">
        <v>24</v>
      </c>
      <c r="C16" s="32" t="s">
        <v>13</v>
      </c>
      <c r="D16" s="14" t="s">
        <v>47</v>
      </c>
      <c r="E16" s="15">
        <v>53719</v>
      </c>
      <c r="F16" s="15">
        <v>53719</v>
      </c>
      <c r="G16" s="15">
        <v>30000</v>
      </c>
      <c r="H16" s="39">
        <f t="shared" si="0"/>
        <v>0.5584616243787115</v>
      </c>
      <c r="I16" s="15">
        <f t="shared" si="1"/>
        <v>32231.399999999998</v>
      </c>
      <c r="J16" s="45">
        <f>G16</f>
        <v>30000</v>
      </c>
      <c r="K16" s="62">
        <v>35.5</v>
      </c>
      <c r="L16" s="432">
        <v>371264</v>
      </c>
      <c r="M16" s="88"/>
      <c r="N16" s="69"/>
      <c r="O16" s="69"/>
      <c r="P16" s="80"/>
    </row>
    <row r="17" spans="1:16" ht="34.5" customHeight="1" thickBot="1">
      <c r="A17" s="23">
        <v>15</v>
      </c>
      <c r="B17" s="467"/>
      <c r="C17" s="29" t="s">
        <v>14</v>
      </c>
      <c r="D17" s="30" t="s">
        <v>47</v>
      </c>
      <c r="E17" s="31">
        <v>407437.24</v>
      </c>
      <c r="F17" s="31">
        <v>272726.55</v>
      </c>
      <c r="G17" s="31">
        <v>60000</v>
      </c>
      <c r="H17" s="44">
        <f t="shared" si="0"/>
        <v>0.22000058300154496</v>
      </c>
      <c r="I17" s="31">
        <f>F17*0.6</f>
        <v>163635.93</v>
      </c>
      <c r="J17" s="50">
        <f>G17</f>
        <v>60000</v>
      </c>
      <c r="K17" s="63">
        <v>34.6</v>
      </c>
      <c r="L17" s="433"/>
      <c r="M17" s="87">
        <f>J17*0.8</f>
        <v>48000</v>
      </c>
      <c r="N17" s="87">
        <f>J17*0.2</f>
        <v>12000</v>
      </c>
      <c r="O17" s="87">
        <f>SUM(M17:N17)</f>
        <v>60000</v>
      </c>
      <c r="P17" s="85" t="s">
        <v>57</v>
      </c>
    </row>
    <row r="18" spans="1:16" ht="25.5" customHeight="1" thickBot="1">
      <c r="L18" s="76" t="s">
        <v>63</v>
      </c>
      <c r="M18" s="78">
        <f>SUM(M3:M17)</f>
        <v>553836.35199999996</v>
      </c>
      <c r="N18" s="77">
        <f>SUM(N3:N17)</f>
        <v>96122.588000000003</v>
      </c>
      <c r="O18" s="77">
        <f>SUM(M18:N18)</f>
        <v>649958.93999999994</v>
      </c>
      <c r="P18" s="86"/>
    </row>
  </sheetData>
  <mergeCells count="9">
    <mergeCell ref="B16:B17"/>
    <mergeCell ref="L16:L17"/>
    <mergeCell ref="M1:N1"/>
    <mergeCell ref="B3:B7"/>
    <mergeCell ref="L3:L7"/>
    <mergeCell ref="B9:B10"/>
    <mergeCell ref="L9:L10"/>
    <mergeCell ref="B11:B14"/>
    <mergeCell ref="L11:L1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Q24"/>
  <sheetViews>
    <sheetView topLeftCell="F1" zoomScale="70" zoomScaleNormal="70" workbookViewId="0">
      <selection activeCell="K3" sqref="K3:K17"/>
    </sheetView>
  </sheetViews>
  <sheetFormatPr baseColWidth="10" defaultRowHeight="14.25"/>
  <cols>
    <col min="1" max="1" width="7" style="4" customWidth="1"/>
    <col min="2" max="2" width="22.42578125" style="4" customWidth="1"/>
    <col min="3" max="3" width="46.7109375" style="1" customWidth="1"/>
    <col min="4" max="4" width="22.140625" style="11" customWidth="1"/>
    <col min="5" max="5" width="18.5703125" style="1" bestFit="1" customWidth="1"/>
    <col min="6" max="7" width="20.5703125" style="1" customWidth="1"/>
    <col min="8" max="8" width="20.5703125" style="37" customWidth="1"/>
    <col min="9" max="11" width="20.5703125" style="1" customWidth="1"/>
    <col min="12" max="15" width="20.5703125" style="65" customWidth="1"/>
    <col min="16" max="16" width="31.85546875" style="1" customWidth="1"/>
    <col min="17" max="16384" width="11.42578125" style="1"/>
  </cols>
  <sheetData>
    <row r="1" spans="1:17" ht="15" thickBot="1">
      <c r="M1" s="463" t="s">
        <v>62</v>
      </c>
      <c r="N1" s="463"/>
      <c r="O1" s="89"/>
    </row>
    <row r="2" spans="1:17" ht="71.25" customHeight="1" thickBot="1">
      <c r="A2" s="27" t="s">
        <v>49</v>
      </c>
      <c r="B2" s="20" t="s">
        <v>48</v>
      </c>
      <c r="C2" s="26" t="s">
        <v>5</v>
      </c>
      <c r="D2" s="25" t="s">
        <v>25</v>
      </c>
      <c r="E2" s="25" t="s">
        <v>26</v>
      </c>
      <c r="F2" s="25" t="s">
        <v>27</v>
      </c>
      <c r="G2" s="25" t="s">
        <v>28</v>
      </c>
      <c r="H2" s="38" t="s">
        <v>29</v>
      </c>
      <c r="I2" s="25" t="s">
        <v>50</v>
      </c>
      <c r="J2" s="36" t="s">
        <v>58</v>
      </c>
      <c r="K2" s="52" t="s">
        <v>30</v>
      </c>
      <c r="L2" s="74" t="s">
        <v>59</v>
      </c>
      <c r="M2" s="79" t="s">
        <v>60</v>
      </c>
      <c r="N2" s="79" t="s">
        <v>61</v>
      </c>
      <c r="O2" s="79" t="s">
        <v>64</v>
      </c>
      <c r="P2" s="51" t="s">
        <v>52</v>
      </c>
    </row>
    <row r="3" spans="1:17" ht="34.5" customHeight="1">
      <c r="A3" s="21">
        <v>1</v>
      </c>
      <c r="B3" s="464" t="s">
        <v>19</v>
      </c>
      <c r="C3" s="32" t="s">
        <v>35</v>
      </c>
      <c r="D3" s="14" t="s">
        <v>31</v>
      </c>
      <c r="E3" s="15">
        <v>57040</v>
      </c>
      <c r="F3" s="15">
        <v>57040</v>
      </c>
      <c r="G3" s="15">
        <v>57040</v>
      </c>
      <c r="H3" s="39">
        <f>G3/F3</f>
        <v>1</v>
      </c>
      <c r="I3" s="15">
        <f>F3*0.6</f>
        <v>34224</v>
      </c>
      <c r="J3" s="45">
        <f>G3*0.6</f>
        <v>34224</v>
      </c>
      <c r="K3" s="53">
        <v>53.9</v>
      </c>
      <c r="L3" s="432">
        <v>816040</v>
      </c>
      <c r="M3" s="69"/>
      <c r="N3" s="69"/>
      <c r="O3" s="69"/>
      <c r="P3" s="80"/>
    </row>
    <row r="4" spans="1:17" ht="34.5" customHeight="1">
      <c r="A4" s="22">
        <v>2</v>
      </c>
      <c r="B4" s="465"/>
      <c r="C4" s="33" t="s">
        <v>34</v>
      </c>
      <c r="D4" s="10" t="s">
        <v>32</v>
      </c>
      <c r="E4" s="9">
        <v>57040</v>
      </c>
      <c r="F4" s="9">
        <v>57040</v>
      </c>
      <c r="G4" s="9">
        <v>57040</v>
      </c>
      <c r="H4" s="40">
        <f t="shared" ref="H4:H17" si="0">G4/F4</f>
        <v>1</v>
      </c>
      <c r="I4" s="9">
        <f t="shared" ref="I4:J16" si="1">F4*0.6</f>
        <v>34224</v>
      </c>
      <c r="J4" s="46">
        <f t="shared" si="1"/>
        <v>34224</v>
      </c>
      <c r="K4" s="54">
        <v>52.8</v>
      </c>
      <c r="L4" s="438"/>
      <c r="M4" s="70"/>
      <c r="N4" s="70"/>
      <c r="O4" s="70"/>
      <c r="P4" s="81"/>
    </row>
    <row r="5" spans="1:17" ht="47.25" customHeight="1">
      <c r="A5" s="22">
        <v>3</v>
      </c>
      <c r="B5" s="465"/>
      <c r="C5" s="33" t="s">
        <v>36</v>
      </c>
      <c r="D5" s="10" t="s">
        <v>33</v>
      </c>
      <c r="E5" s="9">
        <v>84158.12</v>
      </c>
      <c r="F5" s="9">
        <v>84158.12</v>
      </c>
      <c r="G5" s="9">
        <v>84158.12</v>
      </c>
      <c r="H5" s="40">
        <f t="shared" si="0"/>
        <v>1</v>
      </c>
      <c r="I5" s="9">
        <f t="shared" si="1"/>
        <v>50494.871999999996</v>
      </c>
      <c r="J5" s="46">
        <f t="shared" si="1"/>
        <v>50494.871999999996</v>
      </c>
      <c r="K5" s="54">
        <v>35.1</v>
      </c>
      <c r="L5" s="438"/>
      <c r="M5" s="70"/>
      <c r="N5" s="70"/>
      <c r="O5" s="70"/>
      <c r="P5" s="81"/>
    </row>
    <row r="6" spans="1:17" ht="48.75" customHeight="1">
      <c r="A6" s="22">
        <v>4</v>
      </c>
      <c r="B6" s="465"/>
      <c r="C6" s="33" t="s">
        <v>1</v>
      </c>
      <c r="D6" s="10" t="s">
        <v>43</v>
      </c>
      <c r="E6" s="9">
        <v>199545.68</v>
      </c>
      <c r="F6" s="9">
        <v>199545.68</v>
      </c>
      <c r="G6" s="9">
        <v>119727.41</v>
      </c>
      <c r="H6" s="40">
        <f t="shared" si="0"/>
        <v>0.6000000100227677</v>
      </c>
      <c r="I6" s="98">
        <f t="shared" si="1"/>
        <v>119727.408</v>
      </c>
      <c r="J6" s="46">
        <f>I6</f>
        <v>119727.408</v>
      </c>
      <c r="K6" s="54">
        <v>49.2</v>
      </c>
      <c r="L6" s="438"/>
      <c r="M6" s="94">
        <f>J6*0.8</f>
        <v>95781.926399999997</v>
      </c>
      <c r="N6" s="70">
        <f>J6*0.2</f>
        <v>23945.481599999999</v>
      </c>
      <c r="O6" s="99">
        <f>SUM(M6:N6)</f>
        <v>119727.408</v>
      </c>
      <c r="P6" s="81"/>
    </row>
    <row r="7" spans="1:17" ht="77.25" customHeight="1" thickBot="1">
      <c r="A7" s="23">
        <v>5</v>
      </c>
      <c r="B7" s="466"/>
      <c r="C7" s="34" t="s">
        <v>6</v>
      </c>
      <c r="D7" s="16" t="s">
        <v>42</v>
      </c>
      <c r="E7" s="17">
        <v>93305.79</v>
      </c>
      <c r="F7" s="17">
        <v>93305.79</v>
      </c>
      <c r="G7" s="17">
        <v>93305.79</v>
      </c>
      <c r="H7" s="41">
        <f t="shared" si="0"/>
        <v>1</v>
      </c>
      <c r="I7" s="17">
        <f t="shared" si="1"/>
        <v>55983.473999999995</v>
      </c>
      <c r="J7" s="47">
        <f t="shared" si="1"/>
        <v>55983.473999999995</v>
      </c>
      <c r="K7" s="55">
        <v>68</v>
      </c>
      <c r="L7" s="433"/>
      <c r="M7" s="67"/>
      <c r="N7" s="67"/>
      <c r="O7" s="67"/>
      <c r="P7" s="82" t="s">
        <v>56</v>
      </c>
    </row>
    <row r="8" spans="1:17" ht="34.5" customHeight="1" thickBot="1">
      <c r="A8" s="24">
        <v>6</v>
      </c>
      <c r="B8" s="28" t="s">
        <v>20</v>
      </c>
      <c r="C8" s="35" t="s">
        <v>7</v>
      </c>
      <c r="D8" s="18" t="s">
        <v>41</v>
      </c>
      <c r="E8" s="19">
        <v>106591.21</v>
      </c>
      <c r="F8" s="19">
        <v>106591.21</v>
      </c>
      <c r="G8" s="19">
        <v>106591.21</v>
      </c>
      <c r="H8" s="42">
        <f t="shared" si="0"/>
        <v>1</v>
      </c>
      <c r="I8" s="19">
        <f t="shared" si="1"/>
        <v>63954.726000000002</v>
      </c>
      <c r="J8" s="48">
        <f t="shared" si="1"/>
        <v>63954.726000000002</v>
      </c>
      <c r="K8" s="56">
        <v>33.299999999999997</v>
      </c>
      <c r="L8" s="75">
        <v>440510</v>
      </c>
      <c r="M8" s="68">
        <f>J8*0.8</f>
        <v>51163.780800000008</v>
      </c>
      <c r="N8" s="68">
        <f>J8*0.2</f>
        <v>12790.945200000002</v>
      </c>
      <c r="O8" s="90">
        <f>SUM(M8:N8)</f>
        <v>63954.72600000001</v>
      </c>
      <c r="P8" s="83"/>
    </row>
    <row r="9" spans="1:17" ht="34.5" customHeight="1">
      <c r="A9" s="21">
        <v>7</v>
      </c>
      <c r="B9" s="464" t="s">
        <v>21</v>
      </c>
      <c r="C9" s="32" t="s">
        <v>8</v>
      </c>
      <c r="D9" s="12" t="s">
        <v>40</v>
      </c>
      <c r="E9" s="15">
        <v>1458385.9</v>
      </c>
      <c r="F9" s="15">
        <v>147104.44</v>
      </c>
      <c r="G9" s="15">
        <v>147104.44</v>
      </c>
      <c r="H9" s="39">
        <v>1</v>
      </c>
      <c r="I9" s="15">
        <f>G9*0.6</f>
        <v>88262.664000000004</v>
      </c>
      <c r="J9" s="45">
        <f>I9</f>
        <v>88262.664000000004</v>
      </c>
      <c r="K9" s="57">
        <v>52.6</v>
      </c>
      <c r="L9" s="432">
        <v>65000</v>
      </c>
      <c r="M9" s="71"/>
      <c r="N9" s="71"/>
      <c r="O9" s="72"/>
      <c r="P9" s="84" t="s">
        <v>51</v>
      </c>
    </row>
    <row r="10" spans="1:17" ht="34.5" customHeight="1" thickBot="1">
      <c r="A10" s="23">
        <v>8</v>
      </c>
      <c r="B10" s="466"/>
      <c r="C10" s="34" t="s">
        <v>9</v>
      </c>
      <c r="D10" s="16" t="s">
        <v>39</v>
      </c>
      <c r="E10" s="13">
        <v>2976464.92</v>
      </c>
      <c r="F10" s="13">
        <v>2976464.92</v>
      </c>
      <c r="G10" s="13">
        <v>1020050</v>
      </c>
      <c r="H10" s="43">
        <f t="shared" ref="H10" si="2">G10/F10</f>
        <v>0.34270519808444444</v>
      </c>
      <c r="I10" s="13">
        <f t="shared" si="1"/>
        <v>1785878.9519999998</v>
      </c>
      <c r="J10" s="49">
        <f>G10</f>
        <v>1020050</v>
      </c>
      <c r="K10" s="58">
        <v>85.1</v>
      </c>
      <c r="L10" s="433"/>
      <c r="M10" s="67">
        <v>65000</v>
      </c>
      <c r="N10" s="93">
        <f>(20*M10/80)+58122</f>
        <v>74372</v>
      </c>
      <c r="O10" s="67">
        <f>SUM(M10:N10)</f>
        <v>139372</v>
      </c>
      <c r="P10" s="82"/>
      <c r="Q10" s="64"/>
    </row>
    <row r="11" spans="1:17" ht="49.5" customHeight="1">
      <c r="A11" s="21">
        <v>9</v>
      </c>
      <c r="B11" s="464" t="s">
        <v>22</v>
      </c>
      <c r="C11" s="32" t="s">
        <v>10</v>
      </c>
      <c r="D11" s="14" t="s">
        <v>38</v>
      </c>
      <c r="E11" s="15">
        <v>1049897.1299999999</v>
      </c>
      <c r="F11" s="15">
        <v>1049897.1299999999</v>
      </c>
      <c r="G11" s="15">
        <v>1049897.1299999999</v>
      </c>
      <c r="H11" s="39">
        <f t="shared" si="0"/>
        <v>1</v>
      </c>
      <c r="I11" s="15">
        <f t="shared" si="1"/>
        <v>629938.27799999993</v>
      </c>
      <c r="J11" s="45">
        <f t="shared" si="1"/>
        <v>629938.27799999993</v>
      </c>
      <c r="K11" s="59">
        <v>80.5</v>
      </c>
      <c r="L11" s="432">
        <v>104346</v>
      </c>
      <c r="M11" s="69">
        <v>104346</v>
      </c>
      <c r="N11" s="95">
        <f>(20*M11/80)+35894</f>
        <v>61980.5</v>
      </c>
      <c r="O11" s="69">
        <f>SUM(M11:N11)</f>
        <v>166326.5</v>
      </c>
      <c r="P11" s="80"/>
    </row>
    <row r="12" spans="1:17" ht="34.5" customHeight="1">
      <c r="A12" s="22">
        <v>10</v>
      </c>
      <c r="B12" s="465"/>
      <c r="C12" s="33" t="s">
        <v>55</v>
      </c>
      <c r="D12" s="10" t="s">
        <v>37</v>
      </c>
      <c r="E12" s="9">
        <v>79638.350000000006</v>
      </c>
      <c r="F12" s="9">
        <v>79638.350000000006</v>
      </c>
      <c r="G12" s="9">
        <v>50000</v>
      </c>
      <c r="H12" s="40">
        <f t="shared" si="0"/>
        <v>0.62783822115852472</v>
      </c>
      <c r="I12" s="9">
        <f t="shared" si="1"/>
        <v>47783.01</v>
      </c>
      <c r="J12" s="46">
        <f>I12</f>
        <v>47783.01</v>
      </c>
      <c r="K12" s="54">
        <v>35.4</v>
      </c>
      <c r="L12" s="438"/>
      <c r="M12" s="72"/>
      <c r="N12" s="72"/>
      <c r="O12" s="72"/>
      <c r="P12" s="81"/>
    </row>
    <row r="13" spans="1:17" ht="45.75" customHeight="1">
      <c r="A13" s="22">
        <v>11</v>
      </c>
      <c r="B13" s="465"/>
      <c r="C13" s="33" t="s">
        <v>54</v>
      </c>
      <c r="D13" s="10" t="s">
        <v>44</v>
      </c>
      <c r="E13" s="9">
        <v>119804.82</v>
      </c>
      <c r="F13" s="9">
        <v>119804.82</v>
      </c>
      <c r="G13" s="9">
        <v>71882.41</v>
      </c>
      <c r="H13" s="40">
        <f t="shared" si="0"/>
        <v>0.59999597678958161</v>
      </c>
      <c r="I13" s="9">
        <f t="shared" si="1"/>
        <v>71882.892000000007</v>
      </c>
      <c r="J13" s="46">
        <f>I13</f>
        <v>71882.892000000007</v>
      </c>
      <c r="K13" s="54">
        <v>39.700000000000003</v>
      </c>
      <c r="L13" s="438"/>
      <c r="M13" s="73"/>
      <c r="N13" s="73"/>
      <c r="O13" s="73"/>
      <c r="P13" s="81"/>
    </row>
    <row r="14" spans="1:17" ht="51.75" customHeight="1" thickBot="1">
      <c r="A14" s="23">
        <v>12</v>
      </c>
      <c r="B14" s="466"/>
      <c r="C14" s="34" t="s">
        <v>12</v>
      </c>
      <c r="D14" s="16" t="s">
        <v>45</v>
      </c>
      <c r="E14" s="17">
        <v>163964.26</v>
      </c>
      <c r="F14" s="17">
        <v>163964.26</v>
      </c>
      <c r="G14" s="17">
        <f t="shared" ref="G14" si="3">E14*0.6</f>
        <v>98378.555999999997</v>
      </c>
      <c r="H14" s="41">
        <f t="shared" si="0"/>
        <v>0.6</v>
      </c>
      <c r="I14" s="17">
        <f t="shared" si="1"/>
        <v>98378.555999999997</v>
      </c>
      <c r="J14" s="47">
        <f>I14</f>
        <v>98378.555999999997</v>
      </c>
      <c r="K14" s="60">
        <v>77</v>
      </c>
      <c r="L14" s="433"/>
      <c r="M14" s="66"/>
      <c r="N14" s="66"/>
      <c r="O14" s="66"/>
      <c r="P14" s="82"/>
    </row>
    <row r="15" spans="1:17" ht="62.25" customHeight="1" thickBot="1">
      <c r="A15" s="24">
        <v>13</v>
      </c>
      <c r="B15" s="28" t="s">
        <v>23</v>
      </c>
      <c r="C15" s="35" t="s">
        <v>0</v>
      </c>
      <c r="D15" s="18" t="s">
        <v>46</v>
      </c>
      <c r="E15" s="19">
        <v>157680.5</v>
      </c>
      <c r="F15" s="19">
        <v>157680.5</v>
      </c>
      <c r="G15" s="19">
        <v>114476.05</v>
      </c>
      <c r="H15" s="42">
        <f t="shared" si="0"/>
        <v>0.72600004439356802</v>
      </c>
      <c r="I15" s="19">
        <f t="shared" si="1"/>
        <v>94608.3</v>
      </c>
      <c r="J15" s="48">
        <f>I15</f>
        <v>94608.3</v>
      </c>
      <c r="K15" s="61">
        <v>21.9</v>
      </c>
      <c r="L15" s="75">
        <v>492445</v>
      </c>
      <c r="M15" s="68">
        <f>J15*0.8</f>
        <v>75686.64</v>
      </c>
      <c r="N15" s="68">
        <f>J15*0.2</f>
        <v>18921.66</v>
      </c>
      <c r="O15" s="90">
        <f>SUM(M15:N15)</f>
        <v>94608.3</v>
      </c>
      <c r="P15" s="83"/>
    </row>
    <row r="16" spans="1:17" ht="34.5" customHeight="1">
      <c r="A16" s="21">
        <v>14</v>
      </c>
      <c r="B16" s="464" t="s">
        <v>24</v>
      </c>
      <c r="C16" s="32" t="s">
        <v>13</v>
      </c>
      <c r="D16" s="14" t="s">
        <v>47</v>
      </c>
      <c r="E16" s="15">
        <v>53719</v>
      </c>
      <c r="F16" s="15">
        <v>53719</v>
      </c>
      <c r="G16" s="15">
        <v>30000</v>
      </c>
      <c r="H16" s="39">
        <f t="shared" si="0"/>
        <v>0.5584616243787115</v>
      </c>
      <c r="I16" s="15">
        <f t="shared" si="1"/>
        <v>32231.399999999998</v>
      </c>
      <c r="J16" s="45">
        <f>G16</f>
        <v>30000</v>
      </c>
      <c r="K16" s="62">
        <v>35.5</v>
      </c>
      <c r="L16" s="432">
        <v>371264</v>
      </c>
      <c r="M16" s="88"/>
      <c r="N16" s="69"/>
      <c r="O16" s="69"/>
      <c r="P16" s="80"/>
    </row>
    <row r="17" spans="1:16" ht="34.5" customHeight="1" thickBot="1">
      <c r="A17" s="23">
        <v>15</v>
      </c>
      <c r="B17" s="467"/>
      <c r="C17" s="29" t="s">
        <v>14</v>
      </c>
      <c r="D17" s="30" t="s">
        <v>47</v>
      </c>
      <c r="E17" s="31">
        <v>407437.24</v>
      </c>
      <c r="F17" s="31">
        <v>272726.55</v>
      </c>
      <c r="G17" s="31">
        <v>60000</v>
      </c>
      <c r="H17" s="44">
        <f t="shared" si="0"/>
        <v>0.22000058300154496</v>
      </c>
      <c r="I17" s="100">
        <f>F17*0.6</f>
        <v>163635.93</v>
      </c>
      <c r="J17" s="50">
        <f>G17</f>
        <v>60000</v>
      </c>
      <c r="K17" s="63">
        <v>34.6</v>
      </c>
      <c r="L17" s="433"/>
      <c r="M17" s="87">
        <f>J17*0.8</f>
        <v>48000</v>
      </c>
      <c r="N17" s="87">
        <f>J17*0.2</f>
        <v>12000</v>
      </c>
      <c r="O17" s="102">
        <f>SUM(M17:N17)</f>
        <v>60000</v>
      </c>
      <c r="P17" s="85" t="s">
        <v>57</v>
      </c>
    </row>
    <row r="18" spans="1:16" ht="25.5" customHeight="1" thickBot="1">
      <c r="L18" s="76" t="s">
        <v>63</v>
      </c>
      <c r="M18" s="78">
        <f>SUM(M3:M17)</f>
        <v>439978.34720000002</v>
      </c>
      <c r="N18" s="77">
        <f>SUM(N3:N17)</f>
        <v>204010.58680000002</v>
      </c>
      <c r="O18" s="77">
        <f>SUM(M18:N18)</f>
        <v>643988.93400000001</v>
      </c>
      <c r="P18" s="86"/>
    </row>
    <row r="19" spans="1:16">
      <c r="N19" s="101">
        <v>204010</v>
      </c>
    </row>
    <row r="20" spans="1:16">
      <c r="N20" s="101">
        <f>N19-N18</f>
        <v>-0.58680000001913868</v>
      </c>
    </row>
    <row r="22" spans="1:16">
      <c r="M22" s="65">
        <f>J10</f>
        <v>1020050</v>
      </c>
      <c r="N22" s="103">
        <f>M22/M24</f>
        <v>0.61821651317210147</v>
      </c>
      <c r="O22" s="65">
        <f>N20*N22</f>
        <v>-0.36276944994122101</v>
      </c>
    </row>
    <row r="23" spans="1:16">
      <c r="M23" s="65">
        <f>J11</f>
        <v>629938.27799999993</v>
      </c>
      <c r="N23" s="103">
        <f>M23/M24</f>
        <v>0.38178348682789853</v>
      </c>
      <c r="O23" s="65">
        <f>N20*N23</f>
        <v>-0.2240305500779177</v>
      </c>
    </row>
    <row r="24" spans="1:16">
      <c r="M24" s="65">
        <f>SUM(M22:M23)</f>
        <v>1649988.2779999999</v>
      </c>
    </row>
  </sheetData>
  <mergeCells count="9">
    <mergeCell ref="B16:B17"/>
    <mergeCell ref="L16:L17"/>
    <mergeCell ref="M1:N1"/>
    <mergeCell ref="B3:B7"/>
    <mergeCell ref="L3:L7"/>
    <mergeCell ref="B9:B10"/>
    <mergeCell ref="L9:L10"/>
    <mergeCell ref="B11:B14"/>
    <mergeCell ref="L11:L1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4"/>
  <sheetViews>
    <sheetView topLeftCell="E1" zoomScale="70" zoomScaleNormal="70" workbookViewId="0">
      <selection activeCell="K3" sqref="K3:K17"/>
    </sheetView>
  </sheetViews>
  <sheetFormatPr baseColWidth="10" defaultRowHeight="14.25"/>
  <cols>
    <col min="1" max="1" width="7" style="4" customWidth="1"/>
    <col min="2" max="2" width="22.42578125" style="4" customWidth="1"/>
    <col min="3" max="3" width="46.7109375" style="1" customWidth="1"/>
    <col min="4" max="4" width="22.140625" style="11" customWidth="1"/>
    <col min="5" max="5" width="18.5703125" style="1" bestFit="1" customWidth="1"/>
    <col min="6" max="7" width="20.5703125" style="1" customWidth="1"/>
    <col min="8" max="8" width="20.5703125" style="37" customWidth="1"/>
    <col min="9" max="11" width="20.5703125" style="1" customWidth="1"/>
    <col min="12" max="15" width="20.5703125" style="65" customWidth="1"/>
    <col min="16" max="16" width="31.85546875" style="1" customWidth="1"/>
    <col min="17" max="16384" width="11.42578125" style="1"/>
  </cols>
  <sheetData>
    <row r="1" spans="1:17" ht="15" thickBot="1">
      <c r="M1" s="463" t="s">
        <v>62</v>
      </c>
      <c r="N1" s="463"/>
      <c r="O1" s="89"/>
    </row>
    <row r="2" spans="1:17" ht="71.25" customHeight="1" thickBot="1">
      <c r="A2" s="27" t="s">
        <v>49</v>
      </c>
      <c r="B2" s="20" t="s">
        <v>48</v>
      </c>
      <c r="C2" s="26" t="s">
        <v>5</v>
      </c>
      <c r="D2" s="25" t="s">
        <v>25</v>
      </c>
      <c r="E2" s="25" t="s">
        <v>26</v>
      </c>
      <c r="F2" s="25" t="s">
        <v>27</v>
      </c>
      <c r="G2" s="25" t="s">
        <v>28</v>
      </c>
      <c r="H2" s="38" t="s">
        <v>29</v>
      </c>
      <c r="I2" s="25" t="s">
        <v>50</v>
      </c>
      <c r="J2" s="36" t="s">
        <v>58</v>
      </c>
      <c r="K2" s="52" t="s">
        <v>30</v>
      </c>
      <c r="L2" s="74" t="s">
        <v>59</v>
      </c>
      <c r="M2" s="79" t="s">
        <v>60</v>
      </c>
      <c r="N2" s="79" t="s">
        <v>61</v>
      </c>
      <c r="O2" s="79" t="s">
        <v>64</v>
      </c>
      <c r="P2" s="51" t="s">
        <v>52</v>
      </c>
    </row>
    <row r="3" spans="1:17" ht="34.5" customHeight="1">
      <c r="A3" s="21">
        <v>1</v>
      </c>
      <c r="B3" s="464" t="s">
        <v>19</v>
      </c>
      <c r="C3" s="32" t="s">
        <v>35</v>
      </c>
      <c r="D3" s="14" t="s">
        <v>31</v>
      </c>
      <c r="E3" s="15">
        <v>57040</v>
      </c>
      <c r="F3" s="15">
        <v>57040</v>
      </c>
      <c r="G3" s="15">
        <v>57040</v>
      </c>
      <c r="H3" s="39">
        <f>G3/F3</f>
        <v>1</v>
      </c>
      <c r="I3" s="15">
        <f>F3*0.6</f>
        <v>34224</v>
      </c>
      <c r="J3" s="45">
        <f>G3*0.6</f>
        <v>34224</v>
      </c>
      <c r="K3" s="53">
        <v>53.9</v>
      </c>
      <c r="L3" s="432">
        <v>816040</v>
      </c>
      <c r="M3" s="69"/>
      <c r="N3" s="69"/>
      <c r="O3" s="91"/>
      <c r="P3" s="80"/>
    </row>
    <row r="4" spans="1:17" ht="34.5" customHeight="1">
      <c r="A4" s="22">
        <v>2</v>
      </c>
      <c r="B4" s="465"/>
      <c r="C4" s="33" t="s">
        <v>34</v>
      </c>
      <c r="D4" s="10" t="s">
        <v>32</v>
      </c>
      <c r="E4" s="9">
        <v>57040</v>
      </c>
      <c r="F4" s="9">
        <v>57040</v>
      </c>
      <c r="G4" s="9">
        <v>57040</v>
      </c>
      <c r="H4" s="40">
        <f t="shared" ref="H4:H17" si="0">G4/F4</f>
        <v>1</v>
      </c>
      <c r="I4" s="9">
        <f t="shared" ref="I4:J16" si="1">F4*0.6</f>
        <v>34224</v>
      </c>
      <c r="J4" s="46">
        <f t="shared" si="1"/>
        <v>34224</v>
      </c>
      <c r="K4" s="54">
        <v>52.8</v>
      </c>
      <c r="L4" s="438"/>
      <c r="M4" s="70"/>
      <c r="N4" s="70"/>
      <c r="O4" s="99"/>
      <c r="P4" s="81"/>
    </row>
    <row r="5" spans="1:17" ht="47.25" customHeight="1">
      <c r="A5" s="22">
        <v>3</v>
      </c>
      <c r="B5" s="465"/>
      <c r="C5" s="33" t="s">
        <v>36</v>
      </c>
      <c r="D5" s="10" t="s">
        <v>33</v>
      </c>
      <c r="E5" s="9">
        <v>84158.12</v>
      </c>
      <c r="F5" s="9">
        <v>84158.12</v>
      </c>
      <c r="G5" s="9">
        <v>84158.12</v>
      </c>
      <c r="H5" s="40">
        <f t="shared" si="0"/>
        <v>1</v>
      </c>
      <c r="I5" s="9">
        <f t="shared" si="1"/>
        <v>50494.871999999996</v>
      </c>
      <c r="J5" s="46">
        <f t="shared" si="1"/>
        <v>50494.871999999996</v>
      </c>
      <c r="K5" s="54">
        <v>35.1</v>
      </c>
      <c r="L5" s="438"/>
      <c r="M5" s="70"/>
      <c r="N5" s="70"/>
      <c r="O5" s="99"/>
      <c r="P5" s="81"/>
    </row>
    <row r="6" spans="1:17" ht="48.75" customHeight="1">
      <c r="A6" s="22">
        <v>4</v>
      </c>
      <c r="B6" s="465"/>
      <c r="C6" s="33" t="s">
        <v>1</v>
      </c>
      <c r="D6" s="10" t="s">
        <v>43</v>
      </c>
      <c r="E6" s="9">
        <v>199545.68</v>
      </c>
      <c r="F6" s="9">
        <v>199545.68</v>
      </c>
      <c r="G6" s="9">
        <v>119727.41</v>
      </c>
      <c r="H6" s="40">
        <f t="shared" si="0"/>
        <v>0.6000000100227677</v>
      </c>
      <c r="I6" s="98">
        <f t="shared" si="1"/>
        <v>119727.408</v>
      </c>
      <c r="J6" s="46">
        <f>I6</f>
        <v>119727.408</v>
      </c>
      <c r="K6" s="54">
        <v>49.2</v>
      </c>
      <c r="L6" s="438"/>
      <c r="M6" s="94">
        <f>J6*0.8</f>
        <v>95781.926399999997</v>
      </c>
      <c r="N6" s="70">
        <f>J6*0.2</f>
        <v>23945.481599999999</v>
      </c>
      <c r="O6" s="99">
        <f t="shared" ref="O6:O11" si="2">SUM(M6:N6)</f>
        <v>119727.408</v>
      </c>
      <c r="P6" s="81"/>
    </row>
    <row r="7" spans="1:17" ht="77.25" customHeight="1" thickBot="1">
      <c r="A7" s="23">
        <v>5</v>
      </c>
      <c r="B7" s="466"/>
      <c r="C7" s="34" t="s">
        <v>6</v>
      </c>
      <c r="D7" s="16" t="s">
        <v>42</v>
      </c>
      <c r="E7" s="17">
        <v>93305.79</v>
      </c>
      <c r="F7" s="17">
        <v>93305.79</v>
      </c>
      <c r="G7" s="17">
        <v>93305.79</v>
      </c>
      <c r="H7" s="41">
        <f t="shared" si="0"/>
        <v>1</v>
      </c>
      <c r="I7" s="17">
        <f t="shared" si="1"/>
        <v>55983.473999999995</v>
      </c>
      <c r="J7" s="47">
        <f t="shared" si="1"/>
        <v>55983.473999999995</v>
      </c>
      <c r="K7" s="55">
        <v>68</v>
      </c>
      <c r="L7" s="433"/>
      <c r="M7" s="94">
        <f>J7*0.8</f>
        <v>44786.779199999997</v>
      </c>
      <c r="N7" s="70">
        <f>J7*0.2</f>
        <v>11196.694799999999</v>
      </c>
      <c r="O7" s="99">
        <f t="shared" si="2"/>
        <v>55983.473999999995</v>
      </c>
      <c r="P7" s="82" t="s">
        <v>56</v>
      </c>
    </row>
    <row r="8" spans="1:17" ht="34.5" customHeight="1" thickBot="1">
      <c r="A8" s="24">
        <v>6</v>
      </c>
      <c r="B8" s="28" t="s">
        <v>20</v>
      </c>
      <c r="C8" s="35" t="s">
        <v>7</v>
      </c>
      <c r="D8" s="18" t="s">
        <v>41</v>
      </c>
      <c r="E8" s="19">
        <v>106591.21</v>
      </c>
      <c r="F8" s="19">
        <v>106591.21</v>
      </c>
      <c r="G8" s="19">
        <v>106591.21</v>
      </c>
      <c r="H8" s="42">
        <f t="shared" si="0"/>
        <v>1</v>
      </c>
      <c r="I8" s="19">
        <f t="shared" si="1"/>
        <v>63954.726000000002</v>
      </c>
      <c r="J8" s="48">
        <f t="shared" si="1"/>
        <v>63954.726000000002</v>
      </c>
      <c r="K8" s="56">
        <v>33.299999999999997</v>
      </c>
      <c r="L8" s="75">
        <v>440510</v>
      </c>
      <c r="M8" s="68">
        <f>J8*0.8</f>
        <v>51163.780800000008</v>
      </c>
      <c r="N8" s="68">
        <f>J8*0.2</f>
        <v>12790.945200000002</v>
      </c>
      <c r="O8" s="90">
        <f t="shared" si="2"/>
        <v>63954.72600000001</v>
      </c>
      <c r="P8" s="83"/>
    </row>
    <row r="9" spans="1:17" ht="34.5" customHeight="1">
      <c r="A9" s="21">
        <v>7</v>
      </c>
      <c r="B9" s="464" t="s">
        <v>21</v>
      </c>
      <c r="C9" s="32" t="s">
        <v>8</v>
      </c>
      <c r="D9" s="12" t="s">
        <v>40</v>
      </c>
      <c r="E9" s="15">
        <v>1458385.9</v>
      </c>
      <c r="F9" s="15">
        <v>147104.44</v>
      </c>
      <c r="G9" s="15">
        <v>147104.44</v>
      </c>
      <c r="H9" s="39">
        <v>1</v>
      </c>
      <c r="I9" s="15">
        <f>G9*0.6</f>
        <v>88262.664000000004</v>
      </c>
      <c r="J9" s="45">
        <f>I9</f>
        <v>88262.664000000004</v>
      </c>
      <c r="K9" s="57">
        <v>52.6</v>
      </c>
      <c r="L9" s="432">
        <v>65000</v>
      </c>
      <c r="M9" s="88">
        <v>15000</v>
      </c>
      <c r="N9" s="69">
        <f>J9-M9</f>
        <v>73262.664000000004</v>
      </c>
      <c r="O9" s="91">
        <f t="shared" si="2"/>
        <v>88262.664000000004</v>
      </c>
      <c r="P9" s="84" t="s">
        <v>51</v>
      </c>
    </row>
    <row r="10" spans="1:17" ht="34.5" customHeight="1" thickBot="1">
      <c r="A10" s="23">
        <v>8</v>
      </c>
      <c r="B10" s="466"/>
      <c r="C10" s="34" t="s">
        <v>9</v>
      </c>
      <c r="D10" s="16" t="s">
        <v>39</v>
      </c>
      <c r="E10" s="13">
        <v>2976464.92</v>
      </c>
      <c r="F10" s="13">
        <v>2976464.92</v>
      </c>
      <c r="G10" s="13">
        <v>1020050</v>
      </c>
      <c r="H10" s="43">
        <f t="shared" ref="H10" si="3">G10/F10</f>
        <v>0.34270519808444444</v>
      </c>
      <c r="I10" s="13">
        <f t="shared" si="1"/>
        <v>1785878.9519999998</v>
      </c>
      <c r="J10" s="49">
        <f>G10</f>
        <v>1020050</v>
      </c>
      <c r="K10" s="58">
        <v>85.1</v>
      </c>
      <c r="L10" s="433"/>
      <c r="M10" s="67">
        <v>50000</v>
      </c>
      <c r="N10" s="67"/>
      <c r="O10" s="92">
        <f t="shared" si="2"/>
        <v>50000</v>
      </c>
      <c r="P10" s="82"/>
      <c r="Q10" s="64"/>
    </row>
    <row r="11" spans="1:17" ht="49.5" customHeight="1">
      <c r="A11" s="21">
        <v>9</v>
      </c>
      <c r="B11" s="464" t="s">
        <v>22</v>
      </c>
      <c r="C11" s="32" t="s">
        <v>10</v>
      </c>
      <c r="D11" s="14" t="s">
        <v>38</v>
      </c>
      <c r="E11" s="15">
        <v>1049897.1299999999</v>
      </c>
      <c r="F11" s="15">
        <v>1049897.1299999999</v>
      </c>
      <c r="G11" s="15">
        <v>1049897.1299999999</v>
      </c>
      <c r="H11" s="39">
        <f t="shared" si="0"/>
        <v>1</v>
      </c>
      <c r="I11" s="15">
        <f t="shared" si="1"/>
        <v>629938.27799999993</v>
      </c>
      <c r="J11" s="45">
        <f t="shared" si="1"/>
        <v>629938.27799999993</v>
      </c>
      <c r="K11" s="59">
        <v>80.5</v>
      </c>
      <c r="L11" s="432">
        <v>104346</v>
      </c>
      <c r="M11" s="69">
        <f>J11*0.14</f>
        <v>88191.358919999999</v>
      </c>
      <c r="N11" s="69">
        <f>(20*M11/80)</f>
        <v>22047.83973</v>
      </c>
      <c r="O11" s="91">
        <f t="shared" si="2"/>
        <v>110239.19865000001</v>
      </c>
      <c r="P11" s="80"/>
    </row>
    <row r="12" spans="1:17" ht="34.5" customHeight="1">
      <c r="A12" s="22">
        <v>10</v>
      </c>
      <c r="B12" s="465"/>
      <c r="C12" s="33" t="s">
        <v>55</v>
      </c>
      <c r="D12" s="10" t="s">
        <v>37</v>
      </c>
      <c r="E12" s="9">
        <v>79638.350000000006</v>
      </c>
      <c r="F12" s="9">
        <v>79638.350000000006</v>
      </c>
      <c r="G12" s="9">
        <v>50000</v>
      </c>
      <c r="H12" s="40">
        <f t="shared" si="0"/>
        <v>0.62783822115852472</v>
      </c>
      <c r="I12" s="9">
        <f t="shared" si="1"/>
        <v>47783.01</v>
      </c>
      <c r="J12" s="46">
        <f>I12</f>
        <v>47783.01</v>
      </c>
      <c r="K12" s="54">
        <v>35.4</v>
      </c>
      <c r="L12" s="438"/>
      <c r="M12" s="72"/>
      <c r="N12" s="72"/>
      <c r="O12" s="104"/>
      <c r="P12" s="81"/>
    </row>
    <row r="13" spans="1:17" ht="45.75" customHeight="1">
      <c r="A13" s="22">
        <v>11</v>
      </c>
      <c r="B13" s="465"/>
      <c r="C13" s="33" t="s">
        <v>54</v>
      </c>
      <c r="D13" s="10" t="s">
        <v>44</v>
      </c>
      <c r="E13" s="9">
        <v>119804.82</v>
      </c>
      <c r="F13" s="9">
        <v>119804.82</v>
      </c>
      <c r="G13" s="9">
        <v>71882.41</v>
      </c>
      <c r="H13" s="40">
        <f t="shared" si="0"/>
        <v>0.59999597678958161</v>
      </c>
      <c r="I13" s="9">
        <f t="shared" si="1"/>
        <v>71882.892000000007</v>
      </c>
      <c r="J13" s="46">
        <f>I13</f>
        <v>71882.892000000007</v>
      </c>
      <c r="K13" s="54">
        <v>39.700000000000003</v>
      </c>
      <c r="L13" s="438"/>
      <c r="M13" s="73"/>
      <c r="N13" s="73"/>
      <c r="O13" s="105"/>
      <c r="P13" s="81"/>
    </row>
    <row r="14" spans="1:17" ht="51.75" customHeight="1" thickBot="1">
      <c r="A14" s="23">
        <v>12</v>
      </c>
      <c r="B14" s="466"/>
      <c r="C14" s="34" t="s">
        <v>12</v>
      </c>
      <c r="D14" s="16" t="s">
        <v>45</v>
      </c>
      <c r="E14" s="17">
        <v>163964.26</v>
      </c>
      <c r="F14" s="17">
        <v>163964.26</v>
      </c>
      <c r="G14" s="17">
        <f t="shared" ref="G14" si="4">E14*0.6</f>
        <v>98378.555999999997</v>
      </c>
      <c r="H14" s="41">
        <f t="shared" si="0"/>
        <v>0.6</v>
      </c>
      <c r="I14" s="17">
        <f t="shared" si="1"/>
        <v>98378.555999999997</v>
      </c>
      <c r="J14" s="47">
        <f>I14</f>
        <v>98378.555999999997</v>
      </c>
      <c r="K14" s="60">
        <v>77</v>
      </c>
      <c r="L14" s="433"/>
      <c r="M14" s="67">
        <f>J14*0.14</f>
        <v>13772.99784</v>
      </c>
      <c r="N14" s="67">
        <f>J14-M14</f>
        <v>84605.55816</v>
      </c>
      <c r="O14" s="102">
        <f>SUM(M14:N14)</f>
        <v>98378.555999999997</v>
      </c>
      <c r="P14" s="82"/>
      <c r="Q14" s="64">
        <f>M14+M11</f>
        <v>101964.35676</v>
      </c>
    </row>
    <row r="15" spans="1:17" ht="62.25" customHeight="1" thickBot="1">
      <c r="A15" s="24">
        <v>13</v>
      </c>
      <c r="B15" s="28" t="s">
        <v>23</v>
      </c>
      <c r="C15" s="35" t="s">
        <v>0</v>
      </c>
      <c r="D15" s="18" t="s">
        <v>46</v>
      </c>
      <c r="E15" s="19">
        <v>157680.5</v>
      </c>
      <c r="F15" s="19">
        <v>157680.5</v>
      </c>
      <c r="G15" s="19">
        <v>114476.05</v>
      </c>
      <c r="H15" s="42">
        <f t="shared" si="0"/>
        <v>0.72600004439356802</v>
      </c>
      <c r="I15" s="19">
        <f t="shared" si="1"/>
        <v>94608.3</v>
      </c>
      <c r="J15" s="48">
        <f>I15</f>
        <v>94608.3</v>
      </c>
      <c r="K15" s="61">
        <v>21.9</v>
      </c>
      <c r="L15" s="75">
        <v>492445</v>
      </c>
      <c r="M15" s="68"/>
      <c r="N15" s="68"/>
      <c r="O15" s="90"/>
      <c r="P15" s="83"/>
    </row>
    <row r="16" spans="1:17" ht="34.5" customHeight="1">
      <c r="A16" s="21">
        <v>14</v>
      </c>
      <c r="B16" s="464" t="s">
        <v>24</v>
      </c>
      <c r="C16" s="32" t="s">
        <v>13</v>
      </c>
      <c r="D16" s="14" t="s">
        <v>47</v>
      </c>
      <c r="E16" s="15">
        <v>53719</v>
      </c>
      <c r="F16" s="15">
        <v>53719</v>
      </c>
      <c r="G16" s="15">
        <v>30000</v>
      </c>
      <c r="H16" s="39">
        <f t="shared" si="0"/>
        <v>0.5584616243787115</v>
      </c>
      <c r="I16" s="15">
        <f t="shared" si="1"/>
        <v>32231.399999999998</v>
      </c>
      <c r="J16" s="45">
        <f>G16</f>
        <v>30000</v>
      </c>
      <c r="K16" s="62">
        <v>35.5</v>
      </c>
      <c r="L16" s="432">
        <v>371264</v>
      </c>
      <c r="M16" s="87">
        <f>J16*0.8</f>
        <v>24000</v>
      </c>
      <c r="N16" s="87">
        <f>J16*0.2</f>
        <v>6000</v>
      </c>
      <c r="O16" s="102">
        <f>SUM(M16:N16)</f>
        <v>30000</v>
      </c>
      <c r="P16" s="80"/>
    </row>
    <row r="17" spans="1:16" ht="34.5" customHeight="1" thickBot="1">
      <c r="A17" s="23">
        <v>15</v>
      </c>
      <c r="B17" s="467"/>
      <c r="C17" s="29" t="s">
        <v>14</v>
      </c>
      <c r="D17" s="30" t="s">
        <v>47</v>
      </c>
      <c r="E17" s="31">
        <v>407437.24</v>
      </c>
      <c r="F17" s="31">
        <v>272726.55</v>
      </c>
      <c r="G17" s="31">
        <v>60000</v>
      </c>
      <c r="H17" s="44">
        <f t="shared" si="0"/>
        <v>0.22000058300154496</v>
      </c>
      <c r="I17" s="100">
        <f>F17*0.6</f>
        <v>163635.93</v>
      </c>
      <c r="J17" s="50">
        <f>G17</f>
        <v>60000</v>
      </c>
      <c r="K17" s="63">
        <v>34.6</v>
      </c>
      <c r="L17" s="433"/>
      <c r="M17" s="87"/>
      <c r="N17" s="87"/>
      <c r="O17" s="102"/>
      <c r="P17" s="85" t="s">
        <v>57</v>
      </c>
    </row>
    <row r="18" spans="1:16" ht="25.5" customHeight="1" thickBot="1">
      <c r="L18" s="76" t="s">
        <v>63</v>
      </c>
      <c r="M18" s="78">
        <f>SUM(M3:M17)</f>
        <v>382696.84315999999</v>
      </c>
      <c r="N18" s="77">
        <f>SUM(N3:N17)</f>
        <v>233849.18349000002</v>
      </c>
      <c r="O18" s="77">
        <f>SUM(M18:N18)</f>
        <v>616546.02665000001</v>
      </c>
      <c r="P18" s="86"/>
    </row>
    <row r="19" spans="1:16">
      <c r="N19" s="101">
        <v>204010</v>
      </c>
    </row>
    <row r="20" spans="1:16">
      <c r="N20" s="101">
        <f>N19-N18</f>
        <v>-29839.183490000025</v>
      </c>
    </row>
    <row r="22" spans="1:16">
      <c r="M22" s="65">
        <f>J10</f>
        <v>1020050</v>
      </c>
      <c r="N22" s="103">
        <f>M22/M24</f>
        <v>0.61821651317210147</v>
      </c>
      <c r="O22" s="65">
        <f>N20*N22</f>
        <v>-18447.075973090352</v>
      </c>
    </row>
    <row r="23" spans="1:16">
      <c r="M23" s="65">
        <f>J11</f>
        <v>629938.27799999993</v>
      </c>
      <c r="N23" s="103">
        <f>M23/M24</f>
        <v>0.38178348682789853</v>
      </c>
      <c r="O23" s="65">
        <f>N20*N23</f>
        <v>-11392.107516909671</v>
      </c>
    </row>
    <row r="24" spans="1:16">
      <c r="M24" s="65">
        <f>SUM(M22:M23)</f>
        <v>1649988.2779999999</v>
      </c>
    </row>
  </sheetData>
  <mergeCells count="9">
    <mergeCell ref="B16:B17"/>
    <mergeCell ref="L16:L17"/>
    <mergeCell ref="M1:N1"/>
    <mergeCell ref="B3:B7"/>
    <mergeCell ref="L3:L7"/>
    <mergeCell ref="B9:B10"/>
    <mergeCell ref="L9:L10"/>
    <mergeCell ref="B11:B14"/>
    <mergeCell ref="L11:L1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T26"/>
  <sheetViews>
    <sheetView topLeftCell="F7" zoomScale="70" zoomScaleNormal="70" workbookViewId="0">
      <selection activeCell="N11" sqref="N11"/>
    </sheetView>
  </sheetViews>
  <sheetFormatPr baseColWidth="10" defaultRowHeight="14.25"/>
  <cols>
    <col min="1" max="1" width="7" style="4" customWidth="1"/>
    <col min="2" max="2" width="22.42578125" style="4" customWidth="1"/>
    <col min="3" max="3" width="46.7109375" style="1" customWidth="1"/>
    <col min="4" max="4" width="22.140625" style="11" customWidth="1"/>
    <col min="5" max="5" width="18.5703125" style="1" bestFit="1" customWidth="1"/>
    <col min="6" max="8" width="20.5703125" style="1" customWidth="1"/>
    <col min="9" max="9" width="20.5703125" style="65" customWidth="1"/>
    <col min="10" max="12" width="20.5703125" style="65" hidden="1" customWidth="1"/>
    <col min="13" max="15" width="20.5703125" style="65" customWidth="1"/>
    <col min="16" max="16" width="19.7109375" style="1" customWidth="1"/>
    <col min="17" max="17" width="19.140625" style="1" customWidth="1"/>
    <col min="18" max="18" width="18.5703125" style="1" bestFit="1" customWidth="1"/>
    <col min="19" max="19" width="11.42578125" style="1"/>
    <col min="20" max="20" width="18.7109375" style="1" bestFit="1" customWidth="1"/>
    <col min="21" max="16384" width="11.42578125" style="1"/>
  </cols>
  <sheetData>
    <row r="1" spans="1:20" ht="15" thickBot="1">
      <c r="M1" s="440"/>
      <c r="N1" s="440"/>
      <c r="O1" s="89"/>
    </row>
    <row r="2" spans="1:20" ht="35.25" customHeight="1" thickBot="1">
      <c r="M2" s="441" t="s">
        <v>74</v>
      </c>
      <c r="N2" s="442"/>
      <c r="O2" s="443"/>
      <c r="P2" s="441" t="s">
        <v>75</v>
      </c>
      <c r="Q2" s="442"/>
      <c r="R2" s="443"/>
    </row>
    <row r="3" spans="1:20" ht="71.25" customHeight="1" thickBot="1">
      <c r="A3" s="27" t="s">
        <v>49</v>
      </c>
      <c r="B3" s="20" t="s">
        <v>48</v>
      </c>
      <c r="C3" s="26" t="s">
        <v>5</v>
      </c>
      <c r="D3" s="25" t="s">
        <v>25</v>
      </c>
      <c r="E3" s="25" t="s">
        <v>67</v>
      </c>
      <c r="F3" s="25" t="s">
        <v>27</v>
      </c>
      <c r="G3" s="25" t="s">
        <v>68</v>
      </c>
      <c r="H3" s="52" t="s">
        <v>30</v>
      </c>
      <c r="I3" s="121" t="s">
        <v>59</v>
      </c>
      <c r="J3" s="121" t="s">
        <v>70</v>
      </c>
      <c r="K3" s="121" t="s">
        <v>69</v>
      </c>
      <c r="L3" s="122" t="s">
        <v>71</v>
      </c>
      <c r="M3" s="121" t="s">
        <v>72</v>
      </c>
      <c r="N3" s="142" t="s">
        <v>73</v>
      </c>
      <c r="O3" s="143" t="s">
        <v>63</v>
      </c>
      <c r="P3" s="121" t="s">
        <v>72</v>
      </c>
      <c r="Q3" s="142" t="s">
        <v>73</v>
      </c>
      <c r="R3" s="143" t="s">
        <v>63</v>
      </c>
      <c r="S3" s="155"/>
    </row>
    <row r="4" spans="1:20" ht="34.5" customHeight="1">
      <c r="A4" s="21">
        <v>1</v>
      </c>
      <c r="B4" s="464" t="s">
        <v>19</v>
      </c>
      <c r="C4" s="32" t="s">
        <v>35</v>
      </c>
      <c r="D4" s="14" t="s">
        <v>31</v>
      </c>
      <c r="E4" s="15">
        <v>57040</v>
      </c>
      <c r="F4" s="15">
        <v>57040</v>
      </c>
      <c r="G4" s="15">
        <v>34224</v>
      </c>
      <c r="H4" s="53">
        <v>50.9</v>
      </c>
      <c r="I4" s="432">
        <v>816040</v>
      </c>
      <c r="J4" s="432">
        <f>K4-I4</f>
        <v>204010</v>
      </c>
      <c r="K4" s="432">
        <f>I4*100/80</f>
        <v>1020050</v>
      </c>
      <c r="L4" s="434">
        <f>SUM(G4:G8)</f>
        <v>260121.49799999999</v>
      </c>
      <c r="M4" s="133"/>
      <c r="N4" s="134"/>
      <c r="O4" s="132"/>
      <c r="P4" s="146"/>
      <c r="Q4" s="147"/>
      <c r="R4" s="150"/>
    </row>
    <row r="5" spans="1:20" ht="34.5" customHeight="1">
      <c r="A5" s="22">
        <v>2</v>
      </c>
      <c r="B5" s="465"/>
      <c r="C5" s="33" t="s">
        <v>34</v>
      </c>
      <c r="D5" s="10" t="s">
        <v>32</v>
      </c>
      <c r="E5" s="9">
        <v>57040</v>
      </c>
      <c r="F5" s="9">
        <v>57040</v>
      </c>
      <c r="G5" s="9">
        <v>34224</v>
      </c>
      <c r="H5" s="54">
        <v>49.8</v>
      </c>
      <c r="I5" s="438"/>
      <c r="J5" s="438"/>
      <c r="K5" s="438"/>
      <c r="L5" s="439"/>
      <c r="M5" s="127"/>
      <c r="N5" s="125"/>
      <c r="O5" s="129"/>
      <c r="P5" s="133"/>
      <c r="Q5" s="134"/>
      <c r="R5" s="132"/>
      <c r="S5" s="156"/>
    </row>
    <row r="6" spans="1:20" ht="47.25" customHeight="1">
      <c r="A6" s="22">
        <v>3</v>
      </c>
      <c r="B6" s="465"/>
      <c r="C6" s="33" t="s">
        <v>36</v>
      </c>
      <c r="D6" s="10" t="s">
        <v>33</v>
      </c>
      <c r="E6" s="9">
        <v>84158.12</v>
      </c>
      <c r="F6" s="9">
        <v>84158.12</v>
      </c>
      <c r="G6" s="9">
        <v>50494.871999999996</v>
      </c>
      <c r="H6" s="54">
        <v>35.1</v>
      </c>
      <c r="I6" s="438"/>
      <c r="J6" s="438"/>
      <c r="K6" s="438"/>
      <c r="L6" s="439"/>
      <c r="M6" s="127"/>
      <c r="N6" s="125"/>
      <c r="O6" s="129"/>
      <c r="P6" s="133"/>
      <c r="Q6" s="134"/>
      <c r="R6" s="132"/>
      <c r="S6" s="156"/>
    </row>
    <row r="7" spans="1:20" ht="48.75" customHeight="1">
      <c r="A7" s="22">
        <v>4</v>
      </c>
      <c r="B7" s="465"/>
      <c r="C7" s="33" t="s">
        <v>1</v>
      </c>
      <c r="D7" s="10" t="s">
        <v>43</v>
      </c>
      <c r="E7" s="9">
        <v>199545.68</v>
      </c>
      <c r="F7" s="9">
        <v>199545.68</v>
      </c>
      <c r="G7" s="9">
        <v>119727.408</v>
      </c>
      <c r="H7" s="54">
        <v>51.6</v>
      </c>
      <c r="I7" s="438"/>
      <c r="J7" s="438"/>
      <c r="K7" s="438"/>
      <c r="L7" s="439"/>
      <c r="M7" s="127"/>
      <c r="N7" s="125"/>
      <c r="O7" s="129"/>
      <c r="P7" s="133"/>
      <c r="Q7" s="134"/>
      <c r="R7" s="132"/>
      <c r="S7" s="156" t="s">
        <v>76</v>
      </c>
    </row>
    <row r="8" spans="1:20" ht="77.25" customHeight="1" thickBot="1">
      <c r="A8" s="23">
        <v>5</v>
      </c>
      <c r="B8" s="466"/>
      <c r="C8" s="34" t="s">
        <v>6</v>
      </c>
      <c r="D8" s="16" t="s">
        <v>42</v>
      </c>
      <c r="E8" s="17">
        <v>93305.79</v>
      </c>
      <c r="F8" s="17">
        <v>35752.03</v>
      </c>
      <c r="G8" s="17">
        <v>21451.217999999997</v>
      </c>
      <c r="H8" s="55">
        <v>68</v>
      </c>
      <c r="I8" s="433"/>
      <c r="J8" s="433"/>
      <c r="K8" s="433"/>
      <c r="L8" s="435"/>
      <c r="M8" s="135">
        <f>G8*0.8</f>
        <v>17160.974399999999</v>
      </c>
      <c r="N8" s="136">
        <f>G8*0.2</f>
        <v>4290.2435999999998</v>
      </c>
      <c r="O8" s="139">
        <f>M8+N8</f>
        <v>21451.218000000001</v>
      </c>
      <c r="P8" s="135"/>
      <c r="Q8" s="136"/>
      <c r="R8" s="139"/>
      <c r="S8" s="156"/>
    </row>
    <row r="9" spans="1:20" ht="34.5" customHeight="1" thickBot="1">
      <c r="A9" s="24">
        <v>6</v>
      </c>
      <c r="B9" s="28" t="s">
        <v>20</v>
      </c>
      <c r="C9" s="35" t="s">
        <v>7</v>
      </c>
      <c r="D9" s="18" t="s">
        <v>41</v>
      </c>
      <c r="E9" s="19">
        <v>106591.21</v>
      </c>
      <c r="F9" s="19">
        <v>106591.21</v>
      </c>
      <c r="G9" s="19">
        <v>63954.726000000002</v>
      </c>
      <c r="H9" s="56">
        <v>33.299999999999997</v>
      </c>
      <c r="I9" s="75">
        <v>440510</v>
      </c>
      <c r="J9" s="75">
        <f>K9-I9</f>
        <v>110127.5</v>
      </c>
      <c r="K9" s="75">
        <f t="shared" ref="J9:K19" si="0">I9*100/80</f>
        <v>550637.5</v>
      </c>
      <c r="L9" s="123">
        <f>G9</f>
        <v>63954.726000000002</v>
      </c>
      <c r="M9" s="135">
        <f>G9*0.8</f>
        <v>51163.780800000008</v>
      </c>
      <c r="N9" s="136">
        <f>G9*0.2</f>
        <v>12790.945200000002</v>
      </c>
      <c r="O9" s="139">
        <f>M9+N9</f>
        <v>63954.72600000001</v>
      </c>
      <c r="P9" s="135" t="s">
        <v>77</v>
      </c>
      <c r="Q9" s="136" t="s">
        <v>77</v>
      </c>
      <c r="R9" s="139" t="s">
        <v>77</v>
      </c>
      <c r="S9" s="156"/>
    </row>
    <row r="10" spans="1:20" ht="34.5" customHeight="1">
      <c r="A10" s="21">
        <v>7</v>
      </c>
      <c r="B10" s="464" t="s">
        <v>21</v>
      </c>
      <c r="C10" s="32" t="s">
        <v>8</v>
      </c>
      <c r="D10" s="12" t="s">
        <v>40</v>
      </c>
      <c r="E10" s="15">
        <v>1458385.9</v>
      </c>
      <c r="F10" s="15" t="s">
        <v>53</v>
      </c>
      <c r="G10" s="15">
        <v>88262.664000000004</v>
      </c>
      <c r="H10" s="57">
        <v>52.6</v>
      </c>
      <c r="I10" s="432">
        <v>65000</v>
      </c>
      <c r="J10" s="432">
        <f>K10-I10</f>
        <v>16250</v>
      </c>
      <c r="K10" s="432">
        <f t="shared" si="0"/>
        <v>81250</v>
      </c>
      <c r="L10" s="434">
        <f>SUM(G10:G11)</f>
        <v>1108312.6640000001</v>
      </c>
      <c r="M10" s="152"/>
      <c r="N10" s="153"/>
      <c r="O10" s="132"/>
      <c r="P10" s="130" t="s">
        <v>77</v>
      </c>
      <c r="Q10" s="131" t="s">
        <v>77</v>
      </c>
      <c r="R10" s="132" t="s">
        <v>77</v>
      </c>
      <c r="S10" s="156"/>
    </row>
    <row r="11" spans="1:20" ht="34.5" customHeight="1" thickBot="1">
      <c r="A11" s="23">
        <v>8</v>
      </c>
      <c r="B11" s="466"/>
      <c r="C11" s="34" t="s">
        <v>9</v>
      </c>
      <c r="D11" s="16" t="s">
        <v>39</v>
      </c>
      <c r="E11" s="13">
        <v>2976464.92</v>
      </c>
      <c r="F11" s="13">
        <v>2976464.92</v>
      </c>
      <c r="G11" s="13">
        <v>1020050</v>
      </c>
      <c r="H11" s="58">
        <v>85.1</v>
      </c>
      <c r="I11" s="433"/>
      <c r="J11" s="433">
        <f t="shared" si="0"/>
        <v>106.375</v>
      </c>
      <c r="K11" s="433">
        <f t="shared" si="0"/>
        <v>0</v>
      </c>
      <c r="L11" s="435"/>
      <c r="M11" s="133">
        <v>65000</v>
      </c>
      <c r="N11" s="134">
        <f>O11-M11+147.3</f>
        <v>151601.90999999997</v>
      </c>
      <c r="O11" s="154">
        <f>G11*0.2122</f>
        <v>216454.61</v>
      </c>
      <c r="P11" s="135" t="s">
        <v>77</v>
      </c>
      <c r="Q11" s="136" t="s">
        <v>77</v>
      </c>
      <c r="R11" s="139" t="s">
        <v>77</v>
      </c>
      <c r="S11" s="156">
        <f>M11/O11</f>
        <v>0.30029390457426619</v>
      </c>
    </row>
    <row r="12" spans="1:20" ht="49.5" customHeight="1">
      <c r="A12" s="21">
        <v>9</v>
      </c>
      <c r="B12" s="464" t="s">
        <v>22</v>
      </c>
      <c r="C12" s="32" t="s">
        <v>10</v>
      </c>
      <c r="D12" s="14" t="s">
        <v>38</v>
      </c>
      <c r="E12" s="15">
        <v>1049897.1299999999</v>
      </c>
      <c r="F12" s="15">
        <v>1049897.1299999999</v>
      </c>
      <c r="G12" s="15">
        <v>629938.27799999993</v>
      </c>
      <c r="H12" s="59">
        <v>80.5</v>
      </c>
      <c r="I12" s="432">
        <v>104346</v>
      </c>
      <c r="J12" s="432">
        <f>K12-I12</f>
        <v>26086.5</v>
      </c>
      <c r="K12" s="432">
        <f t="shared" si="0"/>
        <v>130432.5</v>
      </c>
      <c r="L12" s="434">
        <f>SUM(G12:G15)</f>
        <v>847982.73599999992</v>
      </c>
      <c r="M12" s="146">
        <v>104346</v>
      </c>
      <c r="N12" s="147">
        <f>O12-M12</f>
        <v>29326.902591599996</v>
      </c>
      <c r="O12" s="151">
        <f>G12*0.2122</f>
        <v>133672.9025916</v>
      </c>
      <c r="P12" s="146"/>
      <c r="Q12" s="147"/>
      <c r="R12" s="150"/>
      <c r="S12" s="156">
        <f>M12/O12</f>
        <v>0.78060697401626633</v>
      </c>
    </row>
    <row r="13" spans="1:20" ht="34.5" customHeight="1">
      <c r="A13" s="22">
        <v>10</v>
      </c>
      <c r="B13" s="465"/>
      <c r="C13" s="33" t="s">
        <v>55</v>
      </c>
      <c r="D13" s="10" t="s">
        <v>37</v>
      </c>
      <c r="E13" s="9">
        <v>79638.350000000006</v>
      </c>
      <c r="F13" s="9">
        <v>79638.350000000006</v>
      </c>
      <c r="G13" s="9">
        <v>47783.01</v>
      </c>
      <c r="H13" s="54">
        <v>35.4</v>
      </c>
      <c r="I13" s="438"/>
      <c r="J13" s="438">
        <f t="shared" si="0"/>
        <v>44.25</v>
      </c>
      <c r="K13" s="438">
        <f t="shared" si="0"/>
        <v>0</v>
      </c>
      <c r="L13" s="439"/>
      <c r="M13" s="130"/>
      <c r="N13" s="131"/>
      <c r="O13" s="132"/>
      <c r="P13" s="130"/>
      <c r="Q13" s="131"/>
      <c r="R13" s="132"/>
      <c r="S13" s="156"/>
    </row>
    <row r="14" spans="1:20" ht="45.75" customHeight="1">
      <c r="A14" s="22">
        <v>11</v>
      </c>
      <c r="B14" s="465"/>
      <c r="C14" s="33" t="s">
        <v>54</v>
      </c>
      <c r="D14" s="10" t="s">
        <v>44</v>
      </c>
      <c r="E14" s="9">
        <v>119804.82</v>
      </c>
      <c r="F14" s="9">
        <v>119804.82</v>
      </c>
      <c r="G14" s="9">
        <v>71882.892000000007</v>
      </c>
      <c r="H14" s="54">
        <v>39.700000000000003</v>
      </c>
      <c r="I14" s="438"/>
      <c r="J14" s="438">
        <f t="shared" si="0"/>
        <v>49.625000000000007</v>
      </c>
      <c r="K14" s="438">
        <f t="shared" si="0"/>
        <v>0</v>
      </c>
      <c r="L14" s="439"/>
      <c r="M14" s="128"/>
      <c r="N14" s="126"/>
      <c r="O14" s="129"/>
      <c r="P14" s="128"/>
      <c r="Q14" s="126"/>
      <c r="R14" s="129"/>
      <c r="S14" s="156"/>
    </row>
    <row r="15" spans="1:20" ht="51.75" customHeight="1" thickBot="1">
      <c r="A15" s="23">
        <v>12</v>
      </c>
      <c r="B15" s="466"/>
      <c r="C15" s="34" t="s">
        <v>12</v>
      </c>
      <c r="D15" s="16" t="s">
        <v>45</v>
      </c>
      <c r="E15" s="17">
        <v>163964.26</v>
      </c>
      <c r="F15" s="17">
        <v>163964.26</v>
      </c>
      <c r="G15" s="17">
        <v>98378.555999999997</v>
      </c>
      <c r="H15" s="60">
        <v>77</v>
      </c>
      <c r="I15" s="433"/>
      <c r="J15" s="433">
        <f t="shared" si="0"/>
        <v>96.25</v>
      </c>
      <c r="K15" s="433">
        <f t="shared" si="0"/>
        <v>0</v>
      </c>
      <c r="L15" s="435"/>
      <c r="M15" s="137"/>
      <c r="N15" s="138"/>
      <c r="O15" s="139"/>
      <c r="P15" s="135"/>
      <c r="Q15" s="136"/>
      <c r="R15" s="139"/>
      <c r="S15" s="156" t="s">
        <v>76</v>
      </c>
      <c r="T15" s="161">
        <f>M12+P15</f>
        <v>104346</v>
      </c>
    </row>
    <row r="16" spans="1:20" ht="62.25" customHeight="1" thickBot="1">
      <c r="A16" s="24">
        <v>13</v>
      </c>
      <c r="B16" s="28" t="s">
        <v>23</v>
      </c>
      <c r="C16" s="35" t="s">
        <v>0</v>
      </c>
      <c r="D16" s="18" t="s">
        <v>46</v>
      </c>
      <c r="E16" s="19">
        <v>157680.5</v>
      </c>
      <c r="F16" s="19">
        <v>157680.5</v>
      </c>
      <c r="G16" s="19">
        <v>94608.3</v>
      </c>
      <c r="H16" s="61">
        <v>21.9</v>
      </c>
      <c r="I16" s="75">
        <v>492445</v>
      </c>
      <c r="J16" s="75">
        <f>K16-I16</f>
        <v>123111.25</v>
      </c>
      <c r="K16" s="75">
        <f t="shared" si="0"/>
        <v>615556.25</v>
      </c>
      <c r="L16" s="123">
        <f>G16</f>
        <v>94608.3</v>
      </c>
      <c r="M16" s="135"/>
      <c r="N16" s="136"/>
      <c r="O16" s="139"/>
      <c r="P16" s="135" t="s">
        <v>77</v>
      </c>
      <c r="Q16" s="136" t="s">
        <v>77</v>
      </c>
      <c r="R16" s="139" t="s">
        <v>77</v>
      </c>
      <c r="S16" s="156"/>
    </row>
    <row r="17" spans="1:19" ht="34.5" customHeight="1">
      <c r="A17" s="21">
        <v>14</v>
      </c>
      <c r="B17" s="464" t="s">
        <v>24</v>
      </c>
      <c r="C17" s="32" t="s">
        <v>13</v>
      </c>
      <c r="D17" s="14" t="s">
        <v>47</v>
      </c>
      <c r="E17" s="15">
        <v>53719</v>
      </c>
      <c r="F17" s="15">
        <v>53719</v>
      </c>
      <c r="G17" s="15">
        <v>30000</v>
      </c>
      <c r="H17" s="62">
        <v>35.5</v>
      </c>
      <c r="I17" s="432">
        <v>371264</v>
      </c>
      <c r="J17" s="432">
        <f>K17-I17</f>
        <v>92816</v>
      </c>
      <c r="K17" s="432">
        <f t="shared" si="0"/>
        <v>464080</v>
      </c>
      <c r="L17" s="434">
        <f>G17+G18</f>
        <v>90000</v>
      </c>
      <c r="M17" s="146">
        <f>G17*0.8</f>
        <v>24000</v>
      </c>
      <c r="N17" s="147">
        <f>G17*0.2</f>
        <v>6000</v>
      </c>
      <c r="O17" s="150">
        <f>M17+N17</f>
        <v>30000</v>
      </c>
      <c r="P17" s="146" t="s">
        <v>77</v>
      </c>
      <c r="Q17" s="147" t="s">
        <v>77</v>
      </c>
      <c r="R17" s="150" t="s">
        <v>77</v>
      </c>
      <c r="S17" s="156"/>
    </row>
    <row r="18" spans="1:19" ht="34.5" customHeight="1" thickBot="1">
      <c r="A18" s="23">
        <v>15</v>
      </c>
      <c r="B18" s="467"/>
      <c r="C18" s="29" t="s">
        <v>14</v>
      </c>
      <c r="D18" s="30" t="s">
        <v>47</v>
      </c>
      <c r="E18" s="31">
        <v>407437.24</v>
      </c>
      <c r="F18" s="31">
        <v>272726.55</v>
      </c>
      <c r="G18" s="31">
        <v>60000</v>
      </c>
      <c r="H18" s="63">
        <v>34.6</v>
      </c>
      <c r="I18" s="433"/>
      <c r="J18" s="433">
        <f t="shared" si="0"/>
        <v>43.25</v>
      </c>
      <c r="K18" s="433">
        <f t="shared" si="0"/>
        <v>0</v>
      </c>
      <c r="L18" s="435"/>
      <c r="M18" s="137"/>
      <c r="N18" s="138"/>
      <c r="O18" s="139"/>
      <c r="P18" s="135"/>
      <c r="Q18" s="136"/>
      <c r="R18" s="139"/>
      <c r="S18" s="156" t="s">
        <v>76</v>
      </c>
    </row>
    <row r="19" spans="1:19" ht="25.5" customHeight="1">
      <c r="D19" s="120" t="s">
        <v>63</v>
      </c>
      <c r="E19" s="119">
        <f>SUM(E4:E18)</f>
        <v>7064672.919999999</v>
      </c>
      <c r="F19" s="119">
        <f t="shared" ref="F19:R19" si="1">SUM(F4:F18)</f>
        <v>5414022.5699999994</v>
      </c>
      <c r="G19" s="119">
        <f t="shared" si="1"/>
        <v>2464979.9239999996</v>
      </c>
      <c r="I19" s="119">
        <f t="shared" si="1"/>
        <v>2289605</v>
      </c>
      <c r="J19" s="119">
        <f t="shared" si="1"/>
        <v>572741</v>
      </c>
      <c r="K19" s="119">
        <f t="shared" si="0"/>
        <v>2862006.25</v>
      </c>
      <c r="L19" s="119">
        <f t="shared" si="1"/>
        <v>2464979.9239999996</v>
      </c>
      <c r="M19" s="119">
        <f t="shared" si="1"/>
        <v>261670.75520000001</v>
      </c>
      <c r="N19" s="119">
        <f t="shared" si="1"/>
        <v>204010.00139159997</v>
      </c>
      <c r="O19" s="119">
        <f t="shared" si="1"/>
        <v>465533.45659159997</v>
      </c>
      <c r="P19" s="119">
        <f t="shared" si="1"/>
        <v>0</v>
      </c>
      <c r="Q19" s="119">
        <f t="shared" si="1"/>
        <v>0</v>
      </c>
      <c r="R19" s="119">
        <f t="shared" si="1"/>
        <v>0</v>
      </c>
    </row>
    <row r="21" spans="1:19" ht="15">
      <c r="P21" s="157">
        <f>M19+P19</f>
        <v>261670.75520000001</v>
      </c>
      <c r="Q21" s="157">
        <f>N19+Q19</f>
        <v>204010.00139159997</v>
      </c>
      <c r="R21" s="157">
        <f>O19+R19</f>
        <v>465533.45659159997</v>
      </c>
    </row>
    <row r="22" spans="1:19" ht="15" thickBot="1"/>
    <row r="23" spans="1:19" ht="15" thickBot="1">
      <c r="O23" s="65" t="s">
        <v>78</v>
      </c>
      <c r="P23" s="158">
        <v>816040</v>
      </c>
      <c r="Q23" s="159">
        <v>204010</v>
      </c>
      <c r="R23" s="160">
        <f>SUM(P23:Q23)</f>
        <v>1020050</v>
      </c>
    </row>
    <row r="25" spans="1:19">
      <c r="Q25" s="117">
        <f>Q23-Q21</f>
        <v>-1.3915999734308571E-3</v>
      </c>
    </row>
    <row r="26" spans="1:19">
      <c r="Q26" s="117">
        <f>Q23-Q21</f>
        <v>-1.3915999734308571E-3</v>
      </c>
    </row>
  </sheetData>
  <mergeCells count="23">
    <mergeCell ref="B17:B18"/>
    <mergeCell ref="I17:I18"/>
    <mergeCell ref="J17:J18"/>
    <mergeCell ref="K17:K18"/>
    <mergeCell ref="L17:L18"/>
    <mergeCell ref="B10:B11"/>
    <mergeCell ref="I10:I11"/>
    <mergeCell ref="J10:J11"/>
    <mergeCell ref="K10:K11"/>
    <mergeCell ref="L10:L11"/>
    <mergeCell ref="B12:B15"/>
    <mergeCell ref="I12:I15"/>
    <mergeCell ref="J12:J15"/>
    <mergeCell ref="K12:K15"/>
    <mergeCell ref="L12:L15"/>
    <mergeCell ref="M1:N1"/>
    <mergeCell ref="M2:O2"/>
    <mergeCell ref="P2:R2"/>
    <mergeCell ref="B4:B8"/>
    <mergeCell ref="I4:I8"/>
    <mergeCell ref="J4:J8"/>
    <mergeCell ref="K4:K8"/>
    <mergeCell ref="L4:L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S23"/>
  <sheetViews>
    <sheetView zoomScale="70" zoomScaleNormal="70" workbookViewId="0">
      <selection activeCell="G23" sqref="G23"/>
    </sheetView>
  </sheetViews>
  <sheetFormatPr baseColWidth="10" defaultRowHeight="15"/>
  <cols>
    <col min="1" max="1" width="3.7109375" customWidth="1"/>
    <col min="2" max="2" width="22.42578125" style="4" customWidth="1"/>
    <col min="3" max="3" width="15.42578125" style="65" customWidth="1"/>
    <col min="4" max="4" width="7" style="4" customWidth="1"/>
    <col min="5" max="5" width="46.7109375" style="1" customWidth="1"/>
    <col min="6" max="6" width="22.140625" style="11" customWidth="1"/>
    <col min="7" max="7" width="18.5703125" style="1" bestFit="1" customWidth="1"/>
    <col min="8" max="9" width="20.5703125" style="1" customWidth="1"/>
    <col min="10" max="10" width="22.140625" style="1" customWidth="1"/>
    <col min="11" max="11" width="20.5703125" style="1" customWidth="1"/>
    <col min="12" max="14" width="20.5703125" style="65" hidden="1" customWidth="1"/>
    <col min="15" max="17" width="20.5703125" style="65" customWidth="1"/>
    <col min="18" max="18" width="11.42578125" style="1"/>
    <col min="19" max="19" width="18.7109375" style="1" bestFit="1" customWidth="1"/>
    <col min="20" max="16384" width="11.42578125" style="1"/>
  </cols>
  <sheetData>
    <row r="1" spans="2:19" ht="15.75" thickBot="1">
      <c r="O1" s="440"/>
      <c r="P1" s="440"/>
      <c r="Q1" s="124"/>
    </row>
    <row r="2" spans="2:19" ht="35.25" customHeight="1" thickBot="1">
      <c r="O2" s="453" t="s">
        <v>86</v>
      </c>
      <c r="P2" s="454"/>
      <c r="Q2" s="455"/>
    </row>
    <row r="3" spans="2:19" ht="71.25" customHeight="1" thickBot="1">
      <c r="B3" s="204" t="s">
        <v>48</v>
      </c>
      <c r="C3" s="121" t="s">
        <v>87</v>
      </c>
      <c r="D3" s="27" t="s">
        <v>49</v>
      </c>
      <c r="E3" s="26" t="s">
        <v>5</v>
      </c>
      <c r="F3" s="25" t="s">
        <v>25</v>
      </c>
      <c r="G3" s="25" t="s">
        <v>67</v>
      </c>
      <c r="H3" s="25" t="s">
        <v>27</v>
      </c>
      <c r="I3" s="25" t="s">
        <v>79</v>
      </c>
      <c r="J3" s="25" t="s">
        <v>81</v>
      </c>
      <c r="K3" s="52" t="s">
        <v>30</v>
      </c>
      <c r="L3" s="121" t="s">
        <v>70</v>
      </c>
      <c r="M3" s="121" t="s">
        <v>69</v>
      </c>
      <c r="N3" s="122" t="s">
        <v>71</v>
      </c>
      <c r="O3" s="121" t="s">
        <v>82</v>
      </c>
      <c r="P3" s="121" t="s">
        <v>83</v>
      </c>
      <c r="Q3" s="143" t="s">
        <v>84</v>
      </c>
      <c r="R3" s="155"/>
    </row>
    <row r="4" spans="2:19" ht="34.5" customHeight="1">
      <c r="B4" s="447" t="s">
        <v>19</v>
      </c>
      <c r="C4" s="449">
        <v>816040</v>
      </c>
      <c r="D4" s="21">
        <v>1</v>
      </c>
      <c r="E4" s="32" t="s">
        <v>35</v>
      </c>
      <c r="F4" s="14" t="s">
        <v>31</v>
      </c>
      <c r="G4" s="15">
        <v>57040</v>
      </c>
      <c r="H4" s="15">
        <v>57040</v>
      </c>
      <c r="I4" s="15">
        <f>H4*1.21</f>
        <v>69018.399999999994</v>
      </c>
      <c r="J4" s="168">
        <f>I4*0.6</f>
        <v>41411.039999999994</v>
      </c>
      <c r="K4" s="53">
        <v>50.9</v>
      </c>
      <c r="L4" s="432">
        <f>M4-C4</f>
        <v>204010</v>
      </c>
      <c r="M4" s="432">
        <f>C4*100/80</f>
        <v>1020050</v>
      </c>
      <c r="N4" s="434">
        <f>SUM(J4:J8)</f>
        <v>314747.01257999998</v>
      </c>
      <c r="O4" s="180"/>
      <c r="P4" s="181"/>
      <c r="Q4" s="182"/>
    </row>
    <row r="5" spans="2:19" ht="34.5" customHeight="1">
      <c r="B5" s="451"/>
      <c r="C5" s="452"/>
      <c r="D5" s="22">
        <v>2</v>
      </c>
      <c r="E5" s="33" t="s">
        <v>34</v>
      </c>
      <c r="F5" s="10" t="s">
        <v>32</v>
      </c>
      <c r="G5" s="9">
        <v>57040</v>
      </c>
      <c r="H5" s="9">
        <v>57040</v>
      </c>
      <c r="I5" s="9">
        <f t="shared" ref="I5:I17" si="0">H5*1.21</f>
        <v>69018.399999999994</v>
      </c>
      <c r="J5" s="169">
        <f t="shared" ref="J5:J15" si="1">I5*0.6</f>
        <v>41411.039999999994</v>
      </c>
      <c r="K5" s="54">
        <v>49.8</v>
      </c>
      <c r="L5" s="438"/>
      <c r="M5" s="438"/>
      <c r="N5" s="439"/>
      <c r="O5" s="183"/>
      <c r="P5" s="184"/>
      <c r="Q5" s="185"/>
      <c r="R5" s="156"/>
    </row>
    <row r="6" spans="2:19" ht="47.25" customHeight="1">
      <c r="B6" s="451"/>
      <c r="C6" s="452"/>
      <c r="D6" s="22">
        <v>3</v>
      </c>
      <c r="E6" s="33" t="s">
        <v>36</v>
      </c>
      <c r="F6" s="10" t="s">
        <v>33</v>
      </c>
      <c r="G6" s="9">
        <v>84158.12</v>
      </c>
      <c r="H6" s="9">
        <v>84158.12</v>
      </c>
      <c r="I6" s="9">
        <f t="shared" si="0"/>
        <v>101831.32519999999</v>
      </c>
      <c r="J6" s="169">
        <f t="shared" si="1"/>
        <v>61098.795119999995</v>
      </c>
      <c r="K6" s="54">
        <v>35.1</v>
      </c>
      <c r="L6" s="438"/>
      <c r="M6" s="438"/>
      <c r="N6" s="439"/>
      <c r="O6" s="186"/>
      <c r="P6" s="187"/>
      <c r="Q6" s="188"/>
      <c r="R6" s="156"/>
    </row>
    <row r="7" spans="2:19" ht="48.75" customHeight="1">
      <c r="B7" s="451"/>
      <c r="C7" s="452"/>
      <c r="D7" s="206">
        <v>4</v>
      </c>
      <c r="E7" s="207" t="s">
        <v>1</v>
      </c>
      <c r="F7" s="208" t="s">
        <v>43</v>
      </c>
      <c r="G7" s="209">
        <v>199545.68</v>
      </c>
      <c r="H7" s="209">
        <v>199545.68</v>
      </c>
      <c r="I7" s="209">
        <f t="shared" si="0"/>
        <v>241450.27279999998</v>
      </c>
      <c r="J7" s="210">
        <f t="shared" si="1"/>
        <v>144870.16367999997</v>
      </c>
      <c r="K7" s="229">
        <v>51.6</v>
      </c>
      <c r="L7" s="438"/>
      <c r="M7" s="438"/>
      <c r="N7" s="439"/>
      <c r="O7" s="211">
        <f>J7*0.8</f>
        <v>115896.13094399997</v>
      </c>
      <c r="P7" s="212">
        <f>J7*0.2</f>
        <v>28974.032735999994</v>
      </c>
      <c r="Q7" s="213">
        <f>O7+P7</f>
        <v>144870.16367999997</v>
      </c>
      <c r="R7" s="156"/>
    </row>
    <row r="8" spans="2:19" ht="77.25" customHeight="1" thickBot="1">
      <c r="B8" s="448"/>
      <c r="C8" s="450"/>
      <c r="D8" s="23">
        <v>5</v>
      </c>
      <c r="E8" s="34" t="s">
        <v>6</v>
      </c>
      <c r="F8" s="16" t="s">
        <v>42</v>
      </c>
      <c r="G8" s="17">
        <v>93305.79</v>
      </c>
      <c r="H8" s="17">
        <v>35752.03</v>
      </c>
      <c r="I8" s="17">
        <f t="shared" si="0"/>
        <v>43259.956299999998</v>
      </c>
      <c r="J8" s="13">
        <f t="shared" si="1"/>
        <v>25955.973779999997</v>
      </c>
      <c r="K8" s="203">
        <v>68</v>
      </c>
      <c r="L8" s="433"/>
      <c r="M8" s="433"/>
      <c r="N8" s="435"/>
      <c r="O8" s="189"/>
      <c r="P8" s="191"/>
      <c r="Q8" s="190"/>
      <c r="R8" s="156"/>
    </row>
    <row r="9" spans="2:19" ht="34.5" customHeight="1" thickBot="1">
      <c r="B9" s="205" t="s">
        <v>20</v>
      </c>
      <c r="C9" s="231">
        <v>440510</v>
      </c>
      <c r="D9" s="217">
        <v>6</v>
      </c>
      <c r="E9" s="218" t="s">
        <v>7</v>
      </c>
      <c r="F9" s="219" t="s">
        <v>41</v>
      </c>
      <c r="G9" s="220">
        <v>106591.21</v>
      </c>
      <c r="H9" s="220">
        <v>106591.21</v>
      </c>
      <c r="I9" s="220">
        <f t="shared" si="0"/>
        <v>128975.36410000001</v>
      </c>
      <c r="J9" s="220">
        <f t="shared" si="1"/>
        <v>77385.218460000004</v>
      </c>
      <c r="K9" s="228">
        <v>33.299999999999997</v>
      </c>
      <c r="L9" s="75">
        <f>M9-C9</f>
        <v>110127.5</v>
      </c>
      <c r="M9" s="75">
        <f t="shared" ref="M9:M20" si="2">C9*100/80</f>
        <v>550637.5</v>
      </c>
      <c r="N9" s="123">
        <f>J9</f>
        <v>77385.218460000004</v>
      </c>
      <c r="O9" s="214">
        <f>J9*0.8</f>
        <v>61908.174768000004</v>
      </c>
      <c r="P9" s="215">
        <f>J9*0.2</f>
        <v>15477.043692000001</v>
      </c>
      <c r="Q9" s="216">
        <f>O9+P9</f>
        <v>77385.218460000004</v>
      </c>
      <c r="R9" s="156"/>
    </row>
    <row r="10" spans="2:19" ht="34.5" customHeight="1">
      <c r="B10" s="447" t="s">
        <v>21</v>
      </c>
      <c r="C10" s="449">
        <v>65000</v>
      </c>
      <c r="D10" s="21">
        <v>7</v>
      </c>
      <c r="E10" s="32" t="s">
        <v>8</v>
      </c>
      <c r="F10" s="12" t="s">
        <v>40</v>
      </c>
      <c r="G10" s="15">
        <v>1458385.9</v>
      </c>
      <c r="H10" s="15">
        <v>147104.44</v>
      </c>
      <c r="I10" s="15">
        <f t="shared" si="0"/>
        <v>177996.37239999999</v>
      </c>
      <c r="J10" s="15">
        <f t="shared" si="1"/>
        <v>106797.82343999999</v>
      </c>
      <c r="K10" s="57">
        <v>52.6</v>
      </c>
      <c r="L10" s="432">
        <f>M10-C10</f>
        <v>16250</v>
      </c>
      <c r="M10" s="432">
        <f t="shared" si="2"/>
        <v>81250</v>
      </c>
      <c r="N10" s="434">
        <f>SUM(J10:J11)</f>
        <v>1126847.8234399999</v>
      </c>
      <c r="O10" s="201"/>
      <c r="P10" s="202"/>
      <c r="Q10" s="188"/>
      <c r="R10" s="156"/>
    </row>
    <row r="11" spans="2:19" ht="34.5" customHeight="1" thickBot="1">
      <c r="B11" s="448"/>
      <c r="C11" s="450"/>
      <c r="D11" s="221">
        <v>8</v>
      </c>
      <c r="E11" s="222" t="s">
        <v>9</v>
      </c>
      <c r="F11" s="223" t="s">
        <v>39</v>
      </c>
      <c r="G11" s="224">
        <v>2976464.92</v>
      </c>
      <c r="H11" s="224">
        <v>2976464.92</v>
      </c>
      <c r="I11" s="224">
        <f t="shared" si="0"/>
        <v>3601522.5532</v>
      </c>
      <c r="J11" s="224">
        <v>1020050</v>
      </c>
      <c r="K11" s="227">
        <v>85.1</v>
      </c>
      <c r="L11" s="433">
        <f t="shared" ref="L11:L17" si="3">K11*100/80</f>
        <v>106.375</v>
      </c>
      <c r="M11" s="433">
        <f t="shared" si="2"/>
        <v>0</v>
      </c>
      <c r="N11" s="435"/>
      <c r="O11" s="225">
        <v>65000</v>
      </c>
      <c r="P11" s="226">
        <f>O11*20/80</f>
        <v>16250</v>
      </c>
      <c r="Q11" s="216">
        <f>O11+P11</f>
        <v>81250</v>
      </c>
      <c r="R11" s="156"/>
    </row>
    <row r="12" spans="2:19" ht="49.5" customHeight="1">
      <c r="B12" s="447" t="s">
        <v>22</v>
      </c>
      <c r="C12" s="449">
        <v>104346</v>
      </c>
      <c r="D12" s="236">
        <v>9</v>
      </c>
      <c r="E12" s="237" t="s">
        <v>10</v>
      </c>
      <c r="F12" s="238" t="s">
        <v>38</v>
      </c>
      <c r="G12" s="239">
        <v>1049897.1299999999</v>
      </c>
      <c r="H12" s="239">
        <v>1049897.1299999999</v>
      </c>
      <c r="I12" s="239">
        <f t="shared" si="0"/>
        <v>1270375.5272999997</v>
      </c>
      <c r="J12" s="239">
        <f t="shared" si="1"/>
        <v>762225.31637999986</v>
      </c>
      <c r="K12" s="235">
        <v>80.5</v>
      </c>
      <c r="L12" s="432">
        <f>M12-C12</f>
        <v>26086.5</v>
      </c>
      <c r="M12" s="432">
        <f t="shared" si="2"/>
        <v>130432.5</v>
      </c>
      <c r="N12" s="434">
        <f>SUM(J12:J15)</f>
        <v>1026059.1105599998</v>
      </c>
      <c r="O12" s="232">
        <f>C12</f>
        <v>104346</v>
      </c>
      <c r="P12" s="233">
        <f>O12*20/80</f>
        <v>26086.5</v>
      </c>
      <c r="Q12" s="234">
        <f>O12+P12</f>
        <v>130432.5</v>
      </c>
      <c r="R12" s="156"/>
    </row>
    <row r="13" spans="2:19" ht="34.5" customHeight="1">
      <c r="B13" s="451"/>
      <c r="C13" s="452"/>
      <c r="D13" s="22">
        <v>10</v>
      </c>
      <c r="E13" s="33" t="s">
        <v>55</v>
      </c>
      <c r="F13" s="10" t="s">
        <v>37</v>
      </c>
      <c r="G13" s="9">
        <v>79638.350000000006</v>
      </c>
      <c r="H13" s="9">
        <v>79638.350000000006</v>
      </c>
      <c r="I13" s="9">
        <f t="shared" si="0"/>
        <v>96362.4035</v>
      </c>
      <c r="J13" s="9">
        <f t="shared" si="1"/>
        <v>57817.4421</v>
      </c>
      <c r="K13" s="54">
        <v>35.4</v>
      </c>
      <c r="L13" s="438">
        <f t="shared" si="3"/>
        <v>44.25</v>
      </c>
      <c r="M13" s="438">
        <f t="shared" si="2"/>
        <v>0</v>
      </c>
      <c r="N13" s="439"/>
      <c r="O13" s="193"/>
      <c r="P13" s="194"/>
      <c r="Q13" s="195"/>
      <c r="R13" s="156"/>
    </row>
    <row r="14" spans="2:19" ht="45.75" customHeight="1">
      <c r="B14" s="451"/>
      <c r="C14" s="452"/>
      <c r="D14" s="22">
        <v>11</v>
      </c>
      <c r="E14" s="33" t="s">
        <v>54</v>
      </c>
      <c r="F14" s="10" t="s">
        <v>44</v>
      </c>
      <c r="G14" s="9">
        <v>119804.82</v>
      </c>
      <c r="H14" s="9">
        <v>119804.82</v>
      </c>
      <c r="I14" s="9">
        <f t="shared" si="0"/>
        <v>144963.8322</v>
      </c>
      <c r="J14" s="9">
        <f t="shared" si="1"/>
        <v>86978.299320000006</v>
      </c>
      <c r="K14" s="54">
        <v>39.700000000000003</v>
      </c>
      <c r="L14" s="438">
        <f t="shared" si="3"/>
        <v>49.625000000000007</v>
      </c>
      <c r="M14" s="438">
        <f t="shared" si="2"/>
        <v>0</v>
      </c>
      <c r="N14" s="439"/>
      <c r="O14" s="196"/>
      <c r="P14" s="197"/>
      <c r="Q14" s="185"/>
      <c r="R14" s="156"/>
    </row>
    <row r="15" spans="2:19" ht="51.75" customHeight="1" thickBot="1">
      <c r="B15" s="448"/>
      <c r="C15" s="450"/>
      <c r="D15" s="23">
        <v>12</v>
      </c>
      <c r="E15" s="34" t="s">
        <v>12</v>
      </c>
      <c r="F15" s="16" t="s">
        <v>45</v>
      </c>
      <c r="G15" s="17">
        <v>163964.26</v>
      </c>
      <c r="H15" s="17">
        <v>163964.26</v>
      </c>
      <c r="I15" s="17">
        <f t="shared" si="0"/>
        <v>198396.75460000001</v>
      </c>
      <c r="J15" s="17">
        <f t="shared" si="1"/>
        <v>119038.05276000001</v>
      </c>
      <c r="K15" s="60">
        <v>77</v>
      </c>
      <c r="L15" s="433">
        <f t="shared" si="3"/>
        <v>96.25</v>
      </c>
      <c r="M15" s="433">
        <f t="shared" si="2"/>
        <v>0</v>
      </c>
      <c r="N15" s="435"/>
      <c r="O15" s="198"/>
      <c r="P15" s="199"/>
      <c r="Q15" s="200"/>
      <c r="R15" s="156"/>
      <c r="S15" s="161"/>
    </row>
    <row r="16" spans="2:19" ht="34.5" customHeight="1">
      <c r="B16" s="447" t="s">
        <v>24</v>
      </c>
      <c r="C16" s="449">
        <v>371264</v>
      </c>
      <c r="D16" s="236">
        <v>14</v>
      </c>
      <c r="E16" s="237" t="s">
        <v>13</v>
      </c>
      <c r="F16" s="238" t="s">
        <v>47</v>
      </c>
      <c r="G16" s="239">
        <v>53719</v>
      </c>
      <c r="H16" s="239">
        <v>53719</v>
      </c>
      <c r="I16" s="239">
        <f t="shared" si="0"/>
        <v>64999.99</v>
      </c>
      <c r="J16" s="239">
        <f>I16*0.6</f>
        <v>38999.993999999999</v>
      </c>
      <c r="K16" s="240">
        <v>35.5</v>
      </c>
      <c r="L16" s="432">
        <f>M16-C16</f>
        <v>92816</v>
      </c>
      <c r="M16" s="432">
        <f t="shared" si="2"/>
        <v>464080</v>
      </c>
      <c r="N16" s="434">
        <f>J16+J17</f>
        <v>98999.994000000006</v>
      </c>
      <c r="O16" s="232">
        <f>J16*0.8</f>
        <v>31199.995200000001</v>
      </c>
      <c r="P16" s="233">
        <f>J16*0.2</f>
        <v>7799.9988000000003</v>
      </c>
      <c r="Q16" s="234">
        <f>O16+P16</f>
        <v>38999.993999999999</v>
      </c>
      <c r="R16" s="156"/>
    </row>
    <row r="17" spans="2:18" ht="34.5" customHeight="1" thickBot="1">
      <c r="B17" s="448"/>
      <c r="C17" s="450"/>
      <c r="D17" s="23">
        <v>15</v>
      </c>
      <c r="E17" s="29" t="s">
        <v>14</v>
      </c>
      <c r="F17" s="30" t="s">
        <v>47</v>
      </c>
      <c r="G17" s="31">
        <v>407437.24</v>
      </c>
      <c r="H17" s="31">
        <v>272726.55</v>
      </c>
      <c r="I17" s="31">
        <f t="shared" si="0"/>
        <v>329999.12549999997</v>
      </c>
      <c r="J17" s="31">
        <v>60000</v>
      </c>
      <c r="K17" s="63">
        <v>34.6</v>
      </c>
      <c r="L17" s="433">
        <f t="shared" si="3"/>
        <v>43.25</v>
      </c>
      <c r="M17" s="433">
        <f t="shared" si="2"/>
        <v>0</v>
      </c>
      <c r="N17" s="435"/>
      <c r="O17" s="178"/>
      <c r="P17" s="179"/>
      <c r="Q17" s="177"/>
      <c r="R17" s="156"/>
    </row>
    <row r="18" spans="2:18" ht="48" customHeight="1" thickBot="1">
      <c r="B18" s="205" t="s">
        <v>23</v>
      </c>
      <c r="C18" s="231">
        <v>492445</v>
      </c>
      <c r="D18" s="24">
        <v>13</v>
      </c>
      <c r="E18" s="35" t="s">
        <v>0</v>
      </c>
      <c r="F18" s="18" t="s">
        <v>46</v>
      </c>
      <c r="G18" s="19">
        <v>157680.5</v>
      </c>
      <c r="H18" s="19">
        <v>157680.5</v>
      </c>
      <c r="I18" s="19">
        <f>H18*1.21</f>
        <v>190793.405</v>
      </c>
      <c r="J18" s="19">
        <f>I18*0.6</f>
        <v>114476.04299999999</v>
      </c>
      <c r="K18" s="192" t="s">
        <v>77</v>
      </c>
      <c r="L18" s="75">
        <f>M18-C18</f>
        <v>123111.25</v>
      </c>
      <c r="M18" s="75">
        <f t="shared" si="2"/>
        <v>615556.25</v>
      </c>
      <c r="N18" s="123">
        <f>J18</f>
        <v>114476.04299999999</v>
      </c>
      <c r="O18" s="468" t="s">
        <v>85</v>
      </c>
      <c r="P18" s="469"/>
      <c r="Q18" s="470"/>
      <c r="R18" s="156"/>
    </row>
    <row r="19" spans="2:18" ht="30" customHeight="1">
      <c r="C19" s="119" t="s">
        <v>63</v>
      </c>
      <c r="F19" s="120"/>
      <c r="G19" s="119"/>
      <c r="H19" s="119"/>
      <c r="I19" s="119"/>
      <c r="J19" s="119"/>
      <c r="K19" s="241" t="s">
        <v>63</v>
      </c>
      <c r="L19" s="119">
        <f>SUM(L4:L17)</f>
        <v>449629.75</v>
      </c>
      <c r="M19" s="119" t="e">
        <f t="shared" si="2"/>
        <v>#VALUE!</v>
      </c>
      <c r="N19" s="119">
        <f>SUM(N4:N17)</f>
        <v>2644039.1590399998</v>
      </c>
      <c r="O19" s="119">
        <f>SUM(O4:O17)</f>
        <v>378350.30091200001</v>
      </c>
      <c r="P19" s="119">
        <f t="shared" ref="P19:Q20" si="4">SUM(P4:P17)</f>
        <v>94587.575228000002</v>
      </c>
      <c r="Q19" s="119">
        <f t="shared" si="4"/>
        <v>472937.87614000001</v>
      </c>
    </row>
    <row r="20" spans="2:18" ht="30.75" customHeight="1">
      <c r="K20" s="241" t="s">
        <v>63</v>
      </c>
      <c r="L20" s="119">
        <f>SUM(L5:L18)</f>
        <v>368731</v>
      </c>
      <c r="M20" s="119">
        <f t="shared" si="2"/>
        <v>0</v>
      </c>
      <c r="N20" s="119">
        <f>SUM(N5:N18)</f>
        <v>2443768.18946</v>
      </c>
      <c r="O20" s="119">
        <f>O19/Q19</f>
        <v>0.8</v>
      </c>
      <c r="P20" s="119">
        <f>P19/Q19</f>
        <v>0.2</v>
      </c>
      <c r="Q20" s="119">
        <f t="shared" si="4"/>
        <v>472937.87614000001</v>
      </c>
    </row>
    <row r="21" spans="2:18" ht="23.25" customHeight="1">
      <c r="O21" s="170" t="e">
        <f>O19+#REF!</f>
        <v>#REF!</v>
      </c>
      <c r="P21" s="170" t="e">
        <f>P19+#REF!</f>
        <v>#REF!</v>
      </c>
      <c r="Q21" s="170" t="e">
        <f>Q19+#REF!</f>
        <v>#REF!</v>
      </c>
    </row>
    <row r="22" spans="2:18" ht="23.25" customHeight="1" thickBot="1">
      <c r="O22" s="171" t="e">
        <f>O21/Q21</f>
        <v>#REF!</v>
      </c>
      <c r="P22" s="171" t="e">
        <f>P21/Q21</f>
        <v>#REF!</v>
      </c>
      <c r="Q22" s="4"/>
    </row>
    <row r="23" spans="2:18" ht="23.25" customHeight="1" thickBot="1">
      <c r="N23" s="65" t="s">
        <v>78</v>
      </c>
      <c r="O23" s="172">
        <v>816040</v>
      </c>
      <c r="P23" s="173">
        <v>204010</v>
      </c>
      <c r="Q23" s="174">
        <f>SUM(O23:P23)</f>
        <v>1020050</v>
      </c>
    </row>
  </sheetData>
  <mergeCells count="23">
    <mergeCell ref="O1:P1"/>
    <mergeCell ref="O2:Q2"/>
    <mergeCell ref="B4:B8"/>
    <mergeCell ref="C4:C8"/>
    <mergeCell ref="L4:L8"/>
    <mergeCell ref="M4:M8"/>
    <mergeCell ref="N4:N8"/>
    <mergeCell ref="O18:Q18"/>
    <mergeCell ref="B10:B11"/>
    <mergeCell ref="C10:C11"/>
    <mergeCell ref="L10:L11"/>
    <mergeCell ref="M10:M11"/>
    <mergeCell ref="N10:N11"/>
    <mergeCell ref="B12:B15"/>
    <mergeCell ref="C12:C15"/>
    <mergeCell ref="L12:L15"/>
    <mergeCell ref="M12:M15"/>
    <mergeCell ref="N12:N15"/>
    <mergeCell ref="B16:B17"/>
    <mergeCell ref="C16:C17"/>
    <mergeCell ref="L16:L17"/>
    <mergeCell ref="M16:M17"/>
    <mergeCell ref="N16:N17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T26"/>
  <sheetViews>
    <sheetView topLeftCell="E4" zoomScale="70" zoomScaleNormal="70" workbookViewId="0">
      <selection activeCell="N26" sqref="N26"/>
    </sheetView>
  </sheetViews>
  <sheetFormatPr baseColWidth="10" defaultRowHeight="14.25"/>
  <cols>
    <col min="1" max="1" width="7" style="4" customWidth="1"/>
    <col min="2" max="2" width="22.42578125" style="4" customWidth="1"/>
    <col min="3" max="3" width="46.7109375" style="1" customWidth="1"/>
    <col min="4" max="4" width="22.140625" style="11" customWidth="1"/>
    <col min="5" max="5" width="18.5703125" style="1" bestFit="1" customWidth="1"/>
    <col min="6" max="8" width="20.5703125" style="1" customWidth="1"/>
    <col min="9" max="9" width="20.5703125" style="65" customWidth="1"/>
    <col min="10" max="12" width="20.5703125" style="65" hidden="1" customWidth="1"/>
    <col min="13" max="15" width="20.5703125" style="65" customWidth="1"/>
    <col min="16" max="16" width="21.140625" style="1" bestFit="1" customWidth="1"/>
    <col min="17" max="17" width="19.140625" style="1" customWidth="1"/>
    <col min="18" max="18" width="21.140625" style="1" bestFit="1" customWidth="1"/>
    <col min="19" max="19" width="11.42578125" style="1"/>
    <col min="20" max="20" width="18.7109375" style="1" bestFit="1" customWidth="1"/>
    <col min="21" max="16384" width="11.42578125" style="1"/>
  </cols>
  <sheetData>
    <row r="1" spans="1:20" ht="15" thickBot="1">
      <c r="M1" s="440"/>
      <c r="N1" s="440"/>
      <c r="O1" s="89"/>
    </row>
    <row r="2" spans="1:20" ht="35.25" customHeight="1" thickBot="1">
      <c r="M2" s="441" t="s">
        <v>74</v>
      </c>
      <c r="N2" s="442"/>
      <c r="O2" s="443"/>
      <c r="P2" s="441" t="s">
        <v>75</v>
      </c>
      <c r="Q2" s="442"/>
      <c r="R2" s="443"/>
    </row>
    <row r="3" spans="1:20" ht="71.25" customHeight="1" thickBot="1">
      <c r="A3" s="27" t="s">
        <v>49</v>
      </c>
      <c r="B3" s="20" t="s">
        <v>48</v>
      </c>
      <c r="C3" s="26" t="s">
        <v>5</v>
      </c>
      <c r="D3" s="25" t="s">
        <v>25</v>
      </c>
      <c r="E3" s="25" t="s">
        <v>67</v>
      </c>
      <c r="F3" s="25" t="s">
        <v>27</v>
      </c>
      <c r="G3" s="25" t="s">
        <v>68</v>
      </c>
      <c r="H3" s="52" t="s">
        <v>30</v>
      </c>
      <c r="I3" s="121" t="s">
        <v>59</v>
      </c>
      <c r="J3" s="121" t="s">
        <v>70</v>
      </c>
      <c r="K3" s="121" t="s">
        <v>69</v>
      </c>
      <c r="L3" s="122" t="s">
        <v>71</v>
      </c>
      <c r="M3" s="121" t="s">
        <v>72</v>
      </c>
      <c r="N3" s="142" t="s">
        <v>73</v>
      </c>
      <c r="O3" s="143" t="s">
        <v>63</v>
      </c>
      <c r="P3" s="121" t="s">
        <v>72</v>
      </c>
      <c r="Q3" s="142" t="s">
        <v>73</v>
      </c>
      <c r="R3" s="143" t="s">
        <v>63</v>
      </c>
      <c r="S3" s="155"/>
    </row>
    <row r="4" spans="1:20" ht="34.5" customHeight="1">
      <c r="A4" s="21">
        <v>1</v>
      </c>
      <c r="B4" s="464" t="s">
        <v>19</v>
      </c>
      <c r="C4" s="32" t="s">
        <v>35</v>
      </c>
      <c r="D4" s="14" t="s">
        <v>31</v>
      </c>
      <c r="E4" s="15">
        <v>57040</v>
      </c>
      <c r="F4" s="15">
        <v>57040</v>
      </c>
      <c r="G4" s="15">
        <v>34224</v>
      </c>
      <c r="H4" s="53">
        <v>50.9</v>
      </c>
      <c r="I4" s="432">
        <v>816040</v>
      </c>
      <c r="J4" s="432">
        <f>K4-I4</f>
        <v>204010</v>
      </c>
      <c r="K4" s="432">
        <f>I4*100/80</f>
        <v>1020050</v>
      </c>
      <c r="L4" s="434">
        <f>SUM(G4:G8)</f>
        <v>260121.49799999999</v>
      </c>
      <c r="M4" s="127"/>
      <c r="N4" s="125"/>
      <c r="O4" s="129"/>
      <c r="P4" s="165">
        <f>G4*0.8</f>
        <v>27379.200000000001</v>
      </c>
      <c r="Q4" s="166">
        <f>G4*0.2</f>
        <v>6844.8</v>
      </c>
      <c r="R4" s="167">
        <f>P4+Q4</f>
        <v>34224</v>
      </c>
    </row>
    <row r="5" spans="1:20" ht="34.5" customHeight="1">
      <c r="A5" s="22">
        <v>2</v>
      </c>
      <c r="B5" s="465"/>
      <c r="C5" s="33" t="s">
        <v>34</v>
      </c>
      <c r="D5" s="10" t="s">
        <v>32</v>
      </c>
      <c r="E5" s="9">
        <v>57040</v>
      </c>
      <c r="F5" s="9">
        <v>57040</v>
      </c>
      <c r="G5" s="9">
        <v>34224</v>
      </c>
      <c r="H5" s="54">
        <v>49.8</v>
      </c>
      <c r="I5" s="438"/>
      <c r="J5" s="438"/>
      <c r="K5" s="438"/>
      <c r="L5" s="439"/>
      <c r="M5" s="127"/>
      <c r="N5" s="125"/>
      <c r="O5" s="129"/>
      <c r="P5" s="127">
        <f t="shared" ref="P5:P7" si="0">G5*0.8</f>
        <v>27379.200000000001</v>
      </c>
      <c r="Q5" s="125">
        <f t="shared" ref="Q5:Q7" si="1">G5*0.2</f>
        <v>6844.8</v>
      </c>
      <c r="R5" s="129">
        <f t="shared" ref="R5:R7" si="2">P5+Q5</f>
        <v>34224</v>
      </c>
      <c r="S5" s="156"/>
    </row>
    <row r="6" spans="1:20" ht="47.25" customHeight="1">
      <c r="A6" s="22">
        <v>3</v>
      </c>
      <c r="B6" s="465"/>
      <c r="C6" s="33" t="s">
        <v>36</v>
      </c>
      <c r="D6" s="10" t="s">
        <v>33</v>
      </c>
      <c r="E6" s="9">
        <v>84158.12</v>
      </c>
      <c r="F6" s="9">
        <v>84158.12</v>
      </c>
      <c r="G6" s="9">
        <v>50494.871999999996</v>
      </c>
      <c r="H6" s="54">
        <v>35.1</v>
      </c>
      <c r="I6" s="438"/>
      <c r="J6" s="438"/>
      <c r="K6" s="438"/>
      <c r="L6" s="439"/>
      <c r="M6" s="127"/>
      <c r="N6" s="125"/>
      <c r="O6" s="129"/>
      <c r="P6" s="127">
        <f t="shared" si="0"/>
        <v>40395.897599999997</v>
      </c>
      <c r="Q6" s="125">
        <f t="shared" si="1"/>
        <v>10098.974399999999</v>
      </c>
      <c r="R6" s="129">
        <f t="shared" si="2"/>
        <v>50494.871999999996</v>
      </c>
      <c r="S6" s="156"/>
    </row>
    <row r="7" spans="1:20" ht="48.75" customHeight="1">
      <c r="A7" s="22">
        <v>4</v>
      </c>
      <c r="B7" s="465"/>
      <c r="C7" s="33" t="s">
        <v>1</v>
      </c>
      <c r="D7" s="10" t="s">
        <v>43</v>
      </c>
      <c r="E7" s="9">
        <v>199545.68</v>
      </c>
      <c r="F7" s="9">
        <v>199545.68</v>
      </c>
      <c r="G7" s="9">
        <v>119727.408</v>
      </c>
      <c r="H7" s="54">
        <v>51.6</v>
      </c>
      <c r="I7" s="438"/>
      <c r="J7" s="438"/>
      <c r="K7" s="438"/>
      <c r="L7" s="439"/>
      <c r="M7" s="127"/>
      <c r="N7" s="125"/>
      <c r="O7" s="129"/>
      <c r="P7" s="127">
        <f t="shared" si="0"/>
        <v>95781.926399999997</v>
      </c>
      <c r="Q7" s="125">
        <f t="shared" si="1"/>
        <v>23945.481599999999</v>
      </c>
      <c r="R7" s="129">
        <f t="shared" si="2"/>
        <v>119727.408</v>
      </c>
      <c r="S7" s="156" t="s">
        <v>76</v>
      </c>
    </row>
    <row r="8" spans="1:20" ht="77.25" customHeight="1" thickBot="1">
      <c r="A8" s="23">
        <v>5</v>
      </c>
      <c r="B8" s="466"/>
      <c r="C8" s="34" t="s">
        <v>6</v>
      </c>
      <c r="D8" s="16" t="s">
        <v>42</v>
      </c>
      <c r="E8" s="17">
        <v>93305.79</v>
      </c>
      <c r="F8" s="17">
        <v>35752.03</v>
      </c>
      <c r="G8" s="17">
        <v>21451.217999999997</v>
      </c>
      <c r="H8" s="55">
        <v>68</v>
      </c>
      <c r="I8" s="433"/>
      <c r="J8" s="433"/>
      <c r="K8" s="433"/>
      <c r="L8" s="435"/>
      <c r="M8" s="140">
        <f>F8*0.8</f>
        <v>28601.624</v>
      </c>
      <c r="N8" s="141">
        <f>F8*0.2</f>
        <v>7150.4059999999999</v>
      </c>
      <c r="O8" s="148">
        <f>M8+N8</f>
        <v>35752.03</v>
      </c>
      <c r="P8" s="144"/>
      <c r="Q8" s="145"/>
      <c r="R8" s="149"/>
      <c r="S8" s="156"/>
    </row>
    <row r="9" spans="1:20" ht="34.5" customHeight="1" thickBot="1">
      <c r="A9" s="24">
        <v>6</v>
      </c>
      <c r="B9" s="28" t="s">
        <v>20</v>
      </c>
      <c r="C9" s="35" t="s">
        <v>7</v>
      </c>
      <c r="D9" s="18" t="s">
        <v>41</v>
      </c>
      <c r="E9" s="19">
        <v>106591.21</v>
      </c>
      <c r="F9" s="19">
        <v>106591.21</v>
      </c>
      <c r="G9" s="19">
        <v>63954.726000000002</v>
      </c>
      <c r="H9" s="56">
        <v>33.299999999999997</v>
      </c>
      <c r="I9" s="75">
        <v>440510</v>
      </c>
      <c r="J9" s="75">
        <f>K9-I9</f>
        <v>110127.5</v>
      </c>
      <c r="K9" s="75">
        <f t="shared" ref="J9:K19" si="3">I9*100/80</f>
        <v>550637.5</v>
      </c>
      <c r="L9" s="123">
        <f>G9</f>
        <v>63954.726000000002</v>
      </c>
      <c r="M9" s="162">
        <f>F9*0.8</f>
        <v>85272.968000000008</v>
      </c>
      <c r="N9" s="163">
        <f>F9*0.2</f>
        <v>21318.242000000002</v>
      </c>
      <c r="O9" s="164">
        <f>M9+N9</f>
        <v>106591.21</v>
      </c>
      <c r="P9" s="162"/>
      <c r="Q9" s="163"/>
      <c r="R9" s="164"/>
      <c r="S9" s="156"/>
    </row>
    <row r="10" spans="1:20" ht="34.5" customHeight="1">
      <c r="A10" s="21">
        <v>7</v>
      </c>
      <c r="B10" s="464" t="s">
        <v>21</v>
      </c>
      <c r="C10" s="32" t="s">
        <v>8</v>
      </c>
      <c r="D10" s="12" t="s">
        <v>40</v>
      </c>
      <c r="E10" s="15">
        <v>1458385.9</v>
      </c>
      <c r="F10" s="15">
        <v>147104.44</v>
      </c>
      <c r="G10" s="15">
        <v>88262.664000000004</v>
      </c>
      <c r="H10" s="57">
        <v>52.6</v>
      </c>
      <c r="I10" s="432">
        <v>65000</v>
      </c>
      <c r="J10" s="432">
        <f>K10-I10</f>
        <v>16250</v>
      </c>
      <c r="K10" s="432">
        <f t="shared" si="3"/>
        <v>81250</v>
      </c>
      <c r="L10" s="434">
        <f>SUM(G10:G11)</f>
        <v>1108312.6640000001</v>
      </c>
      <c r="M10" s="146"/>
      <c r="N10" s="147"/>
      <c r="O10" s="150"/>
      <c r="P10" s="127"/>
      <c r="Q10" s="125"/>
      <c r="R10" s="129"/>
      <c r="S10" s="156"/>
    </row>
    <row r="11" spans="1:20" ht="34.5" customHeight="1" thickBot="1">
      <c r="A11" s="23">
        <v>8</v>
      </c>
      <c r="B11" s="466"/>
      <c r="C11" s="34" t="s">
        <v>9</v>
      </c>
      <c r="D11" s="16" t="s">
        <v>39</v>
      </c>
      <c r="E11" s="13">
        <v>2976464.92</v>
      </c>
      <c r="F11" s="13">
        <v>2976464.92</v>
      </c>
      <c r="G11" s="13">
        <v>1020050</v>
      </c>
      <c r="H11" s="58">
        <v>85.1</v>
      </c>
      <c r="I11" s="433"/>
      <c r="J11" s="433">
        <f t="shared" si="3"/>
        <v>106.375</v>
      </c>
      <c r="K11" s="433">
        <f t="shared" si="3"/>
        <v>0</v>
      </c>
      <c r="L11" s="435"/>
      <c r="M11" s="140">
        <v>65000</v>
      </c>
      <c r="N11" s="141">
        <f>M11*40/60</f>
        <v>43333.333333333336</v>
      </c>
      <c r="O11" s="148">
        <f>M11+N11</f>
        <v>108333.33333333334</v>
      </c>
      <c r="P11" s="135"/>
      <c r="Q11" s="136"/>
      <c r="R11" s="139"/>
      <c r="S11" s="156"/>
      <c r="T11" s="64">
        <f>SUM(M10:M11)</f>
        <v>65000</v>
      </c>
    </row>
    <row r="12" spans="1:20" ht="49.5" customHeight="1">
      <c r="A12" s="21">
        <v>9</v>
      </c>
      <c r="B12" s="464" t="s">
        <v>22</v>
      </c>
      <c r="C12" s="32" t="s">
        <v>10</v>
      </c>
      <c r="D12" s="14" t="s">
        <v>38</v>
      </c>
      <c r="E12" s="15">
        <v>1049897.1299999999</v>
      </c>
      <c r="F12" s="15">
        <v>1049897.1299999999</v>
      </c>
      <c r="G12" s="15">
        <v>629938.27799999993</v>
      </c>
      <c r="H12" s="59">
        <v>80.5</v>
      </c>
      <c r="I12" s="432">
        <v>104346</v>
      </c>
      <c r="J12" s="432">
        <f>K12-I12</f>
        <v>26086.5</v>
      </c>
      <c r="K12" s="432">
        <f t="shared" si="3"/>
        <v>130432.5</v>
      </c>
      <c r="L12" s="434">
        <f>SUM(G12:G15)</f>
        <v>847982.73599999992</v>
      </c>
      <c r="M12" s="146">
        <v>104346</v>
      </c>
      <c r="N12" s="147">
        <f>M12*39/61</f>
        <v>66713.016393442624</v>
      </c>
      <c r="O12" s="150">
        <f>M12+N12</f>
        <v>171059.01639344264</v>
      </c>
      <c r="P12" s="146"/>
      <c r="Q12" s="147"/>
      <c r="R12" s="150"/>
      <c r="S12" s="156"/>
    </row>
    <row r="13" spans="1:20" ht="34.5" customHeight="1">
      <c r="A13" s="22">
        <v>10</v>
      </c>
      <c r="B13" s="465"/>
      <c r="C13" s="33" t="s">
        <v>55</v>
      </c>
      <c r="D13" s="10" t="s">
        <v>37</v>
      </c>
      <c r="E13" s="9">
        <v>79638.350000000006</v>
      </c>
      <c r="F13" s="9">
        <v>79638.350000000006</v>
      </c>
      <c r="G13" s="9">
        <v>47783.01</v>
      </c>
      <c r="H13" s="54">
        <v>35.4</v>
      </c>
      <c r="I13" s="438"/>
      <c r="J13" s="438">
        <f t="shared" si="3"/>
        <v>44.25</v>
      </c>
      <c r="K13" s="438">
        <f t="shared" si="3"/>
        <v>0</v>
      </c>
      <c r="L13" s="439"/>
      <c r="M13" s="133"/>
      <c r="N13" s="134"/>
      <c r="O13" s="132"/>
      <c r="P13" s="127"/>
      <c r="Q13" s="125"/>
      <c r="R13" s="129"/>
      <c r="S13" s="156"/>
    </row>
    <row r="14" spans="1:20" ht="45.75" customHeight="1">
      <c r="A14" s="22">
        <v>11</v>
      </c>
      <c r="B14" s="465"/>
      <c r="C14" s="33" t="s">
        <v>54</v>
      </c>
      <c r="D14" s="10" t="s">
        <v>44</v>
      </c>
      <c r="E14" s="9">
        <v>119804.82</v>
      </c>
      <c r="F14" s="9">
        <v>119804.82</v>
      </c>
      <c r="G14" s="9">
        <v>71882.892000000007</v>
      </c>
      <c r="H14" s="54">
        <v>39.700000000000003</v>
      </c>
      <c r="I14" s="438"/>
      <c r="J14" s="438">
        <f t="shared" si="3"/>
        <v>49.625000000000007</v>
      </c>
      <c r="K14" s="438">
        <f t="shared" si="3"/>
        <v>0</v>
      </c>
      <c r="L14" s="439"/>
      <c r="M14" s="133"/>
      <c r="N14" s="134"/>
      <c r="O14" s="132"/>
      <c r="P14" s="127"/>
      <c r="Q14" s="125"/>
      <c r="R14" s="129"/>
      <c r="S14" s="156"/>
      <c r="T14" s="64">
        <f>SUM(P12:P15,M12:M15)</f>
        <v>104346</v>
      </c>
    </row>
    <row r="15" spans="1:20" ht="51.75" customHeight="1" thickBot="1">
      <c r="A15" s="23">
        <v>12</v>
      </c>
      <c r="B15" s="466"/>
      <c r="C15" s="34" t="s">
        <v>12</v>
      </c>
      <c r="D15" s="16" t="s">
        <v>45</v>
      </c>
      <c r="E15" s="17">
        <v>163964.26</v>
      </c>
      <c r="F15" s="17">
        <v>163964.26</v>
      </c>
      <c r="G15" s="17">
        <v>98378.555999999997</v>
      </c>
      <c r="H15" s="60">
        <v>77</v>
      </c>
      <c r="I15" s="433"/>
      <c r="J15" s="433">
        <f t="shared" si="3"/>
        <v>96.25</v>
      </c>
      <c r="K15" s="433">
        <f t="shared" si="3"/>
        <v>0</v>
      </c>
      <c r="L15" s="435"/>
      <c r="M15" s="133"/>
      <c r="N15" s="134"/>
      <c r="O15" s="132"/>
      <c r="P15" s="135"/>
      <c r="Q15" s="136"/>
      <c r="R15" s="139"/>
      <c r="S15" s="156" t="s">
        <v>76</v>
      </c>
      <c r="T15" s="161"/>
    </row>
    <row r="16" spans="1:20" ht="62.25" customHeight="1" thickBot="1">
      <c r="A16" s="24">
        <v>13</v>
      </c>
      <c r="B16" s="28" t="s">
        <v>23</v>
      </c>
      <c r="C16" s="35" t="s">
        <v>0</v>
      </c>
      <c r="D16" s="18" t="s">
        <v>46</v>
      </c>
      <c r="E16" s="19">
        <v>157680.5</v>
      </c>
      <c r="F16" s="19">
        <v>157680.5</v>
      </c>
      <c r="G16" s="19">
        <v>94608.3</v>
      </c>
      <c r="H16" s="61">
        <v>21.9</v>
      </c>
      <c r="I16" s="75">
        <v>492445</v>
      </c>
      <c r="J16" s="75">
        <f>K16-I16</f>
        <v>123111.25</v>
      </c>
      <c r="K16" s="75">
        <f t="shared" si="3"/>
        <v>615556.25</v>
      </c>
      <c r="L16" s="123">
        <f>G16</f>
        <v>94608.3</v>
      </c>
      <c r="M16" s="162"/>
      <c r="N16" s="163"/>
      <c r="O16" s="164"/>
      <c r="P16" s="140"/>
      <c r="Q16" s="141"/>
      <c r="R16" s="148"/>
      <c r="S16" s="156"/>
    </row>
    <row r="17" spans="1:19" ht="34.5" customHeight="1">
      <c r="A17" s="21">
        <v>14</v>
      </c>
      <c r="B17" s="464" t="s">
        <v>24</v>
      </c>
      <c r="C17" s="32" t="s">
        <v>13</v>
      </c>
      <c r="D17" s="14" t="s">
        <v>47</v>
      </c>
      <c r="E17" s="15">
        <v>53719</v>
      </c>
      <c r="F17" s="15">
        <v>53719</v>
      </c>
      <c r="G17" s="15">
        <v>30000</v>
      </c>
      <c r="H17" s="62">
        <v>35.5</v>
      </c>
      <c r="I17" s="432">
        <v>371264</v>
      </c>
      <c r="J17" s="432">
        <f>K17-I17</f>
        <v>92816</v>
      </c>
      <c r="K17" s="432">
        <f t="shared" si="3"/>
        <v>464080</v>
      </c>
      <c r="L17" s="434">
        <f>G17+G18</f>
        <v>90000</v>
      </c>
      <c r="M17" s="133">
        <f>G17*0.8</f>
        <v>24000</v>
      </c>
      <c r="N17" s="134">
        <f>G17*0.2</f>
        <v>6000</v>
      </c>
      <c r="O17" s="132">
        <f>M17+N17</f>
        <v>30000</v>
      </c>
      <c r="P17" s="146"/>
      <c r="Q17" s="147"/>
      <c r="R17" s="150"/>
      <c r="S17" s="156"/>
    </row>
    <row r="18" spans="1:19" ht="34.5" customHeight="1" thickBot="1">
      <c r="A18" s="23">
        <v>15</v>
      </c>
      <c r="B18" s="467"/>
      <c r="C18" s="29" t="s">
        <v>14</v>
      </c>
      <c r="D18" s="30" t="s">
        <v>47</v>
      </c>
      <c r="E18" s="31">
        <v>407437.24</v>
      </c>
      <c r="F18" s="31">
        <v>272726.55</v>
      </c>
      <c r="G18" s="31">
        <v>60000</v>
      </c>
      <c r="H18" s="63">
        <v>34.6</v>
      </c>
      <c r="I18" s="433"/>
      <c r="J18" s="433">
        <f t="shared" si="3"/>
        <v>43.25</v>
      </c>
      <c r="K18" s="433">
        <f t="shared" si="3"/>
        <v>0</v>
      </c>
      <c r="L18" s="435"/>
      <c r="M18" s="135"/>
      <c r="N18" s="136"/>
      <c r="O18" s="139"/>
      <c r="P18" s="135">
        <f t="shared" ref="P18" si="4">G18*0.8</f>
        <v>48000</v>
      </c>
      <c r="Q18" s="136">
        <f t="shared" ref="Q18" si="5">G18*0.2</f>
        <v>12000</v>
      </c>
      <c r="R18" s="139">
        <f t="shared" ref="R18" si="6">P18+Q18</f>
        <v>60000</v>
      </c>
      <c r="S18" s="156" t="s">
        <v>76</v>
      </c>
    </row>
    <row r="19" spans="1:19" ht="25.5" customHeight="1">
      <c r="D19" s="120" t="s">
        <v>63</v>
      </c>
      <c r="E19" s="119">
        <f>SUM(E4:E18)</f>
        <v>7064672.919999999</v>
      </c>
      <c r="F19" s="119">
        <f t="shared" ref="F19:R19" si="7">SUM(F4:F18)</f>
        <v>5561127.0099999988</v>
      </c>
      <c r="G19" s="119">
        <f t="shared" si="7"/>
        <v>2464979.9239999996</v>
      </c>
      <c r="I19" s="119">
        <f t="shared" si="7"/>
        <v>2289605</v>
      </c>
      <c r="J19" s="119">
        <f t="shared" si="7"/>
        <v>572741</v>
      </c>
      <c r="K19" s="119">
        <f t="shared" si="3"/>
        <v>2862006.25</v>
      </c>
      <c r="L19" s="119">
        <f t="shared" si="7"/>
        <v>2464979.9239999996</v>
      </c>
      <c r="M19" s="119">
        <f t="shared" si="7"/>
        <v>307220.592</v>
      </c>
      <c r="N19" s="119">
        <f>SUM(N4:N18)</f>
        <v>144514.99772677594</v>
      </c>
      <c r="O19" s="119">
        <f t="shared" si="7"/>
        <v>451735.589726776</v>
      </c>
      <c r="P19" s="119">
        <f t="shared" si="7"/>
        <v>238936.22399999999</v>
      </c>
      <c r="Q19" s="119">
        <f t="shared" si="7"/>
        <v>59734.055999999997</v>
      </c>
      <c r="R19" s="119">
        <f t="shared" si="7"/>
        <v>298670.28000000003</v>
      </c>
    </row>
    <row r="21" spans="1:19" ht="15">
      <c r="M21" s="65">
        <f>SUM(M13:M15)</f>
        <v>0</v>
      </c>
      <c r="P21" s="157">
        <f>M19+P19</f>
        <v>546156.81599999999</v>
      </c>
      <c r="Q21" s="157">
        <f>N19+Q19</f>
        <v>204249.05372677592</v>
      </c>
      <c r="R21" s="157">
        <f>O19+R19</f>
        <v>750405.86972677603</v>
      </c>
    </row>
    <row r="22" spans="1:19" ht="15" thickBot="1">
      <c r="P22" s="1">
        <f>P21/R21</f>
        <v>0.72781522377864205</v>
      </c>
      <c r="Q22" s="1">
        <f>Q21/R21</f>
        <v>0.27218477622135784</v>
      </c>
    </row>
    <row r="23" spans="1:19" ht="15" thickBot="1">
      <c r="O23" s="65" t="s">
        <v>78</v>
      </c>
      <c r="P23" s="158">
        <v>816040</v>
      </c>
      <c r="Q23" s="159">
        <v>204010</v>
      </c>
      <c r="R23" s="160">
        <f>SUM(P23:Q23)</f>
        <v>1020050</v>
      </c>
    </row>
    <row r="26" spans="1:19">
      <c r="Q26" s="117"/>
    </row>
  </sheetData>
  <mergeCells count="23">
    <mergeCell ref="B17:B18"/>
    <mergeCell ref="I17:I18"/>
    <mergeCell ref="J17:J18"/>
    <mergeCell ref="K17:K18"/>
    <mergeCell ref="L17:L18"/>
    <mergeCell ref="B10:B11"/>
    <mergeCell ref="I10:I11"/>
    <mergeCell ref="J10:J11"/>
    <mergeCell ref="K10:K11"/>
    <mergeCell ref="L10:L11"/>
    <mergeCell ref="B12:B15"/>
    <mergeCell ref="I12:I15"/>
    <mergeCell ref="J12:J15"/>
    <mergeCell ref="K12:K15"/>
    <mergeCell ref="L12:L15"/>
    <mergeCell ref="M1:N1"/>
    <mergeCell ref="M2:O2"/>
    <mergeCell ref="P2:R2"/>
    <mergeCell ref="B4:B8"/>
    <mergeCell ref="I4:I8"/>
    <mergeCell ref="J4:J8"/>
    <mergeCell ref="K4:K8"/>
    <mergeCell ref="L4:L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27"/>
  <sheetViews>
    <sheetView zoomScale="55" zoomScaleNormal="55" workbookViewId="0">
      <selection activeCell="Y8" sqref="Y8"/>
    </sheetView>
  </sheetViews>
  <sheetFormatPr baseColWidth="10" defaultRowHeight="14.25"/>
  <cols>
    <col min="1" max="1" width="7" style="4" customWidth="1"/>
    <col min="2" max="2" width="22.42578125" style="4" customWidth="1"/>
    <col min="3" max="3" width="59.28515625" style="1" customWidth="1"/>
    <col min="4" max="4" width="22.140625" style="11" customWidth="1"/>
    <col min="5" max="5" width="22" style="1" customWidth="1"/>
    <col min="6" max="7" width="20.5703125" style="1" customWidth="1"/>
    <col min="8" max="8" width="26" style="1" customWidth="1"/>
    <col min="9" max="9" width="40.5703125" style="1" customWidth="1"/>
    <col min="10" max="10" width="20.5703125" style="1" hidden="1" customWidth="1"/>
    <col min="11" max="17" width="20.5703125" style="65" hidden="1" customWidth="1"/>
    <col min="18" max="18" width="19.7109375" style="1" hidden="1" customWidth="1"/>
    <col min="19" max="19" width="19.140625" style="1" hidden="1" customWidth="1"/>
    <col min="20" max="20" width="18.5703125" style="1" hidden="1" customWidth="1"/>
    <col min="21" max="21" width="0" style="1" hidden="1" customWidth="1"/>
    <col min="22" max="22" width="18.7109375" style="1" bestFit="1" customWidth="1"/>
    <col min="23" max="16384" width="11.42578125" style="1"/>
  </cols>
  <sheetData>
    <row r="1" spans="1:22">
      <c r="O1" s="440"/>
      <c r="P1" s="440"/>
      <c r="Q1" s="124"/>
    </row>
    <row r="2" spans="1:22" ht="66.75" customHeight="1" thickBot="1">
      <c r="O2" s="124"/>
      <c r="P2" s="124"/>
      <c r="Q2" s="124"/>
    </row>
    <row r="3" spans="1:22" ht="60" customHeight="1" thickBot="1">
      <c r="A3" s="266" t="s">
        <v>88</v>
      </c>
      <c r="O3" s="441" t="s">
        <v>74</v>
      </c>
      <c r="P3" s="442"/>
      <c r="Q3" s="443"/>
      <c r="R3" s="441" t="s">
        <v>75</v>
      </c>
      <c r="S3" s="442"/>
      <c r="T3" s="443"/>
    </row>
    <row r="4" spans="1:22" ht="71.25" customHeight="1" thickBot="1">
      <c r="A4" s="230" t="s">
        <v>49</v>
      </c>
      <c r="B4" s="27" t="s">
        <v>48</v>
      </c>
      <c r="C4" s="26" t="s">
        <v>5</v>
      </c>
      <c r="D4" s="25" t="s">
        <v>25</v>
      </c>
      <c r="E4" s="25" t="s">
        <v>67</v>
      </c>
      <c r="F4" s="25" t="s">
        <v>27</v>
      </c>
      <c r="G4" s="25" t="s">
        <v>79</v>
      </c>
      <c r="H4" s="25" t="s">
        <v>93</v>
      </c>
      <c r="I4" s="252" t="s">
        <v>52</v>
      </c>
      <c r="J4" s="52" t="s">
        <v>30</v>
      </c>
      <c r="K4" s="121" t="s">
        <v>59</v>
      </c>
      <c r="L4" s="121" t="s">
        <v>104</v>
      </c>
      <c r="M4" s="121" t="s">
        <v>105</v>
      </c>
      <c r="N4" s="122" t="s">
        <v>71</v>
      </c>
      <c r="O4" s="121" t="s">
        <v>72</v>
      </c>
      <c r="P4" s="142" t="s">
        <v>73</v>
      </c>
      <c r="Q4" s="143" t="s">
        <v>63</v>
      </c>
      <c r="R4" s="121" t="s">
        <v>72</v>
      </c>
      <c r="S4" s="142" t="s">
        <v>73</v>
      </c>
      <c r="T4" s="143" t="s">
        <v>63</v>
      </c>
      <c r="U4" s="155"/>
    </row>
    <row r="5" spans="1:22" ht="34.5" customHeight="1">
      <c r="A5" s="248">
        <v>1</v>
      </c>
      <c r="B5" s="430" t="s">
        <v>19</v>
      </c>
      <c r="C5" s="32" t="s">
        <v>35</v>
      </c>
      <c r="D5" s="14" t="s">
        <v>31</v>
      </c>
      <c r="E5" s="15">
        <v>57040</v>
      </c>
      <c r="F5" s="15">
        <v>57040</v>
      </c>
      <c r="G5" s="15">
        <f>F5*1.21</f>
        <v>69018.399999999994</v>
      </c>
      <c r="H5" s="168">
        <f>G5*0.6</f>
        <v>41411.039999999994</v>
      </c>
      <c r="I5" s="255"/>
      <c r="J5" s="53">
        <v>50.9</v>
      </c>
      <c r="K5" s="432">
        <v>816040</v>
      </c>
      <c r="L5" s="432">
        <f>M5-K5</f>
        <v>204010</v>
      </c>
      <c r="M5" s="432">
        <f>K5*100/80</f>
        <v>1020050</v>
      </c>
      <c r="N5" s="434">
        <f>SUM(H5:H9)</f>
        <v>314747.01257999998</v>
      </c>
      <c r="O5" s="133"/>
      <c r="P5" s="134"/>
      <c r="Q5" s="132"/>
      <c r="R5" s="146"/>
      <c r="S5" s="147"/>
      <c r="T5" s="150"/>
    </row>
    <row r="6" spans="1:22" ht="34.5" customHeight="1">
      <c r="A6" s="249">
        <v>2</v>
      </c>
      <c r="B6" s="437"/>
      <c r="C6" s="33" t="s">
        <v>34</v>
      </c>
      <c r="D6" s="10" t="s">
        <v>32</v>
      </c>
      <c r="E6" s="9">
        <v>57040</v>
      </c>
      <c r="F6" s="9">
        <v>57040</v>
      </c>
      <c r="G6" s="9">
        <f t="shared" ref="G6:G19" si="0">F6*1.21</f>
        <v>69018.399999999994</v>
      </c>
      <c r="H6" s="247">
        <f t="shared" ref="H6:H17" si="1">G6*0.6</f>
        <v>41411.039999999994</v>
      </c>
      <c r="I6" s="256"/>
      <c r="J6" s="54">
        <v>49.8</v>
      </c>
      <c r="K6" s="438"/>
      <c r="L6" s="438"/>
      <c r="M6" s="438"/>
      <c r="N6" s="439"/>
      <c r="O6" s="127"/>
      <c r="P6" s="125"/>
      <c r="Q6" s="129"/>
      <c r="R6" s="133"/>
      <c r="S6" s="134"/>
      <c r="T6" s="132"/>
      <c r="U6" s="156"/>
    </row>
    <row r="7" spans="1:22" ht="47.25" customHeight="1">
      <c r="A7" s="249">
        <v>3</v>
      </c>
      <c r="B7" s="437"/>
      <c r="C7" s="33" t="s">
        <v>36</v>
      </c>
      <c r="D7" s="10" t="s">
        <v>33</v>
      </c>
      <c r="E7" s="9">
        <v>84158.12</v>
      </c>
      <c r="F7" s="9">
        <v>84158.12</v>
      </c>
      <c r="G7" s="9">
        <f t="shared" si="0"/>
        <v>101831.32519999999</v>
      </c>
      <c r="H7" s="247">
        <f t="shared" si="1"/>
        <v>61098.795119999995</v>
      </c>
      <c r="I7" s="256"/>
      <c r="J7" s="54">
        <v>35.1</v>
      </c>
      <c r="K7" s="438"/>
      <c r="L7" s="438"/>
      <c r="M7" s="438"/>
      <c r="N7" s="439"/>
      <c r="O7" s="127"/>
      <c r="P7" s="125"/>
      <c r="Q7" s="129"/>
      <c r="R7" s="133"/>
      <c r="S7" s="134"/>
      <c r="T7" s="132"/>
      <c r="U7" s="156"/>
    </row>
    <row r="8" spans="1:22" ht="48.75" customHeight="1">
      <c r="A8" s="249">
        <v>4</v>
      </c>
      <c r="B8" s="437"/>
      <c r="C8" s="33" t="s">
        <v>1</v>
      </c>
      <c r="D8" s="10" t="s">
        <v>43</v>
      </c>
      <c r="E8" s="9">
        <v>199545.68</v>
      </c>
      <c r="F8" s="9">
        <v>199545.68</v>
      </c>
      <c r="G8" s="9">
        <f t="shared" si="0"/>
        <v>241450.27279999998</v>
      </c>
      <c r="H8" s="247">
        <f t="shared" si="1"/>
        <v>144870.16367999997</v>
      </c>
      <c r="I8" s="256"/>
      <c r="J8" s="175">
        <v>51.6</v>
      </c>
      <c r="K8" s="438"/>
      <c r="L8" s="438"/>
      <c r="M8" s="438"/>
      <c r="N8" s="439"/>
      <c r="O8" s="127"/>
      <c r="P8" s="125"/>
      <c r="Q8" s="129"/>
      <c r="R8" s="133"/>
      <c r="S8" s="134"/>
      <c r="T8" s="132"/>
      <c r="U8" s="156" t="s">
        <v>76</v>
      </c>
    </row>
    <row r="9" spans="1:22" ht="77.25" customHeight="1" thickBot="1">
      <c r="A9" s="250">
        <v>5</v>
      </c>
      <c r="B9" s="436"/>
      <c r="C9" s="34" t="s">
        <v>6</v>
      </c>
      <c r="D9" s="16" t="s">
        <v>42</v>
      </c>
      <c r="E9" s="17">
        <v>93305.79</v>
      </c>
      <c r="F9" s="17">
        <v>35752.03</v>
      </c>
      <c r="G9" s="17">
        <f t="shared" si="0"/>
        <v>43259.956299999998</v>
      </c>
      <c r="H9" s="13">
        <f t="shared" si="1"/>
        <v>25955.973779999997</v>
      </c>
      <c r="I9" s="257" t="s">
        <v>89</v>
      </c>
      <c r="J9" s="55">
        <v>68</v>
      </c>
      <c r="K9" s="433"/>
      <c r="L9" s="433"/>
      <c r="M9" s="433"/>
      <c r="N9" s="435"/>
      <c r="O9" s="135">
        <f>H9*0.8</f>
        <v>20764.779023999999</v>
      </c>
      <c r="P9" s="136">
        <f>H9*0.2</f>
        <v>5191.1947559999999</v>
      </c>
      <c r="Q9" s="139">
        <f>O9+P9</f>
        <v>25955.97378</v>
      </c>
      <c r="R9" s="135"/>
      <c r="S9" s="136"/>
      <c r="T9" s="139"/>
      <c r="U9" s="156"/>
    </row>
    <row r="10" spans="1:22" ht="34.5" customHeight="1" thickBot="1">
      <c r="A10" s="251">
        <v>6</v>
      </c>
      <c r="B10" s="253" t="s">
        <v>20</v>
      </c>
      <c r="C10" s="35" t="s">
        <v>7</v>
      </c>
      <c r="D10" s="18" t="s">
        <v>94</v>
      </c>
      <c r="E10" s="19">
        <v>106591.21</v>
      </c>
      <c r="F10" s="19">
        <v>106591.21</v>
      </c>
      <c r="G10" s="19">
        <f t="shared" si="0"/>
        <v>128975.36410000001</v>
      </c>
      <c r="H10" s="19">
        <f t="shared" si="1"/>
        <v>77385.218460000004</v>
      </c>
      <c r="I10" s="258"/>
      <c r="J10" s="56">
        <v>33.299999999999997</v>
      </c>
      <c r="K10" s="75">
        <v>440510</v>
      </c>
      <c r="L10" s="75">
        <f>M10-K10</f>
        <v>110127.5</v>
      </c>
      <c r="M10" s="75">
        <f t="shared" ref="L10:M20" si="2">K10*100/80</f>
        <v>550637.5</v>
      </c>
      <c r="N10" s="123">
        <f>H10</f>
        <v>77385.218460000004</v>
      </c>
      <c r="O10" s="135">
        <f>H10*0.8</f>
        <v>61908.174768000004</v>
      </c>
      <c r="P10" s="136">
        <f>H10*0.2</f>
        <v>15477.043692000001</v>
      </c>
      <c r="Q10" s="139">
        <f>O10+P10</f>
        <v>77385.218460000004</v>
      </c>
      <c r="R10" s="135"/>
      <c r="S10" s="136"/>
      <c r="T10" s="139"/>
      <c r="U10" s="156"/>
    </row>
    <row r="11" spans="1:22" ht="34.5" customHeight="1">
      <c r="A11" s="248">
        <v>7</v>
      </c>
      <c r="B11" s="430" t="s">
        <v>21</v>
      </c>
      <c r="C11" s="32" t="s">
        <v>8</v>
      </c>
      <c r="D11" s="12" t="s">
        <v>40</v>
      </c>
      <c r="E11" s="15">
        <v>1458385.9</v>
      </c>
      <c r="F11" s="15">
        <v>147104.44</v>
      </c>
      <c r="G11" s="15">
        <f t="shared" si="0"/>
        <v>177996.37239999999</v>
      </c>
      <c r="H11" s="15">
        <f t="shared" si="1"/>
        <v>106797.82343999999</v>
      </c>
      <c r="I11" s="265" t="s">
        <v>92</v>
      </c>
      <c r="J11" s="57">
        <v>52.6</v>
      </c>
      <c r="K11" s="432">
        <v>65000</v>
      </c>
      <c r="L11" s="432">
        <f>M11-K11</f>
        <v>16250</v>
      </c>
      <c r="M11" s="432">
        <f t="shared" si="2"/>
        <v>81250</v>
      </c>
      <c r="N11" s="434">
        <f>SUM(H11:H12)</f>
        <v>1126847.8234399999</v>
      </c>
      <c r="O11" s="152"/>
      <c r="P11" s="153"/>
      <c r="Q11" s="132"/>
      <c r="R11" s="130"/>
      <c r="S11" s="131"/>
      <c r="T11" s="132"/>
      <c r="U11" s="156"/>
    </row>
    <row r="12" spans="1:22" ht="34.5" customHeight="1" thickBot="1">
      <c r="A12" s="250">
        <v>8</v>
      </c>
      <c r="B12" s="436"/>
      <c r="C12" s="34" t="s">
        <v>9</v>
      </c>
      <c r="D12" s="16" t="s">
        <v>39</v>
      </c>
      <c r="E12" s="13">
        <v>2976464.92</v>
      </c>
      <c r="F12" s="13">
        <v>2976464.92</v>
      </c>
      <c r="G12" s="13">
        <f t="shared" si="0"/>
        <v>3601522.5532</v>
      </c>
      <c r="H12" s="13">
        <v>1020050</v>
      </c>
      <c r="I12" s="264" t="s">
        <v>90</v>
      </c>
      <c r="J12" s="58">
        <v>85.1</v>
      </c>
      <c r="K12" s="433"/>
      <c r="L12" s="433">
        <f t="shared" si="2"/>
        <v>106.375</v>
      </c>
      <c r="M12" s="433">
        <f t="shared" si="2"/>
        <v>0</v>
      </c>
      <c r="N12" s="435"/>
      <c r="O12" s="133">
        <v>65000</v>
      </c>
      <c r="P12" s="134">
        <f>O12*20/80</f>
        <v>16250</v>
      </c>
      <c r="Q12" s="154">
        <f>O12+P12</f>
        <v>81250</v>
      </c>
      <c r="R12" s="135"/>
      <c r="S12" s="136"/>
      <c r="T12" s="139"/>
      <c r="U12" s="156"/>
    </row>
    <row r="13" spans="1:22" ht="49.5" customHeight="1">
      <c r="A13" s="248">
        <v>9</v>
      </c>
      <c r="B13" s="430" t="s">
        <v>22</v>
      </c>
      <c r="C13" s="32" t="s">
        <v>10</v>
      </c>
      <c r="D13" s="14" t="s">
        <v>38</v>
      </c>
      <c r="E13" s="15">
        <v>1049897.1299999999</v>
      </c>
      <c r="F13" s="15">
        <v>1049897.1299999999</v>
      </c>
      <c r="G13" s="15">
        <f t="shared" si="0"/>
        <v>1270375.5272999997</v>
      </c>
      <c r="H13" s="15">
        <f t="shared" si="1"/>
        <v>762225.31637999986</v>
      </c>
      <c r="I13" s="259"/>
      <c r="J13" s="59">
        <v>80.5</v>
      </c>
      <c r="K13" s="432">
        <v>104346</v>
      </c>
      <c r="L13" s="432">
        <f>M13-K13</f>
        <v>26086.5</v>
      </c>
      <c r="M13" s="432">
        <f t="shared" si="2"/>
        <v>130432.5</v>
      </c>
      <c r="N13" s="434">
        <f>SUM(H13:H16)</f>
        <v>1026059.1105599998</v>
      </c>
      <c r="O13" s="146">
        <f>K13</f>
        <v>104346</v>
      </c>
      <c r="P13" s="147">
        <f>O13*20/80</f>
        <v>26086.5</v>
      </c>
      <c r="Q13" s="151">
        <f>O13+P13</f>
        <v>130432.5</v>
      </c>
      <c r="R13" s="146"/>
      <c r="S13" s="147"/>
      <c r="T13" s="150"/>
      <c r="U13" s="156"/>
    </row>
    <row r="14" spans="1:22" ht="34.5" customHeight="1">
      <c r="A14" s="249">
        <v>10</v>
      </c>
      <c r="B14" s="437"/>
      <c r="C14" s="33" t="s">
        <v>55</v>
      </c>
      <c r="D14" s="10" t="s">
        <v>37</v>
      </c>
      <c r="E14" s="9">
        <v>79638.350000000006</v>
      </c>
      <c r="F14" s="9">
        <v>79638.350000000006</v>
      </c>
      <c r="G14" s="9">
        <f t="shared" si="0"/>
        <v>96362.4035</v>
      </c>
      <c r="H14" s="9">
        <f t="shared" si="1"/>
        <v>57817.4421</v>
      </c>
      <c r="I14" s="260"/>
      <c r="J14" s="54">
        <v>35.4</v>
      </c>
      <c r="K14" s="438"/>
      <c r="L14" s="438">
        <f t="shared" si="2"/>
        <v>44.25</v>
      </c>
      <c r="M14" s="438">
        <f t="shared" si="2"/>
        <v>0</v>
      </c>
      <c r="N14" s="439"/>
      <c r="O14" s="130"/>
      <c r="P14" s="131"/>
      <c r="Q14" s="132"/>
      <c r="R14" s="130"/>
      <c r="S14" s="131"/>
      <c r="T14" s="132"/>
      <c r="U14" s="156"/>
    </row>
    <row r="15" spans="1:22" ht="45.75" customHeight="1">
      <c r="A15" s="249">
        <v>11</v>
      </c>
      <c r="B15" s="437"/>
      <c r="C15" s="33" t="s">
        <v>54</v>
      </c>
      <c r="D15" s="10" t="s">
        <v>44</v>
      </c>
      <c r="E15" s="9">
        <v>119804.82</v>
      </c>
      <c r="F15" s="9">
        <v>119804.82</v>
      </c>
      <c r="G15" s="9">
        <f t="shared" si="0"/>
        <v>144963.8322</v>
      </c>
      <c r="H15" s="9">
        <f t="shared" si="1"/>
        <v>86978.299320000006</v>
      </c>
      <c r="I15" s="260"/>
      <c r="J15" s="54">
        <v>39.700000000000003</v>
      </c>
      <c r="K15" s="438"/>
      <c r="L15" s="438">
        <f t="shared" si="2"/>
        <v>49.625000000000007</v>
      </c>
      <c r="M15" s="438">
        <f t="shared" si="2"/>
        <v>0</v>
      </c>
      <c r="N15" s="439"/>
      <c r="O15" s="128"/>
      <c r="P15" s="126"/>
      <c r="Q15" s="129"/>
      <c r="R15" s="128"/>
      <c r="S15" s="126"/>
      <c r="T15" s="129"/>
      <c r="U15" s="156"/>
    </row>
    <row r="16" spans="1:22" ht="51.75" customHeight="1" thickBot="1">
      <c r="A16" s="250">
        <v>12</v>
      </c>
      <c r="B16" s="436"/>
      <c r="C16" s="34" t="s">
        <v>12</v>
      </c>
      <c r="D16" s="16" t="s">
        <v>45</v>
      </c>
      <c r="E16" s="17">
        <v>163964.26</v>
      </c>
      <c r="F16" s="17">
        <v>163964.26</v>
      </c>
      <c r="G16" s="17">
        <f t="shared" si="0"/>
        <v>198396.75460000001</v>
      </c>
      <c r="H16" s="17">
        <f t="shared" si="1"/>
        <v>119038.05276000001</v>
      </c>
      <c r="I16" s="261"/>
      <c r="J16" s="60">
        <v>77</v>
      </c>
      <c r="K16" s="433"/>
      <c r="L16" s="433">
        <f t="shared" si="2"/>
        <v>96.25</v>
      </c>
      <c r="M16" s="433">
        <f t="shared" si="2"/>
        <v>0</v>
      </c>
      <c r="N16" s="435"/>
      <c r="O16" s="137"/>
      <c r="P16" s="138"/>
      <c r="Q16" s="139"/>
      <c r="R16" s="135"/>
      <c r="S16" s="136"/>
      <c r="T16" s="139"/>
      <c r="U16" s="156" t="s">
        <v>76</v>
      </c>
      <c r="V16" s="161"/>
    </row>
    <row r="17" spans="1:21" ht="62.25" customHeight="1" thickBot="1">
      <c r="A17" s="251">
        <v>13</v>
      </c>
      <c r="B17" s="253" t="s">
        <v>23</v>
      </c>
      <c r="C17" s="35" t="s">
        <v>0</v>
      </c>
      <c r="D17" s="18" t="s">
        <v>46</v>
      </c>
      <c r="E17" s="19">
        <v>157680.5</v>
      </c>
      <c r="F17" s="19">
        <v>157680.5</v>
      </c>
      <c r="G17" s="19">
        <f t="shared" si="0"/>
        <v>190793.405</v>
      </c>
      <c r="H17" s="19">
        <f t="shared" si="1"/>
        <v>114476.04299999999</v>
      </c>
      <c r="I17" s="254" t="s">
        <v>95</v>
      </c>
      <c r="J17" s="61">
        <v>21.9</v>
      </c>
      <c r="K17" s="75">
        <v>492445</v>
      </c>
      <c r="L17" s="75">
        <f>M17-K17</f>
        <v>123111.25</v>
      </c>
      <c r="M17" s="75">
        <f t="shared" si="2"/>
        <v>615556.25</v>
      </c>
      <c r="N17" s="123">
        <f>H17</f>
        <v>114476.04299999999</v>
      </c>
      <c r="O17" s="135"/>
      <c r="P17" s="136"/>
      <c r="Q17" s="139"/>
      <c r="R17" s="135"/>
      <c r="S17" s="136"/>
      <c r="T17" s="139"/>
      <c r="U17" s="156"/>
    </row>
    <row r="18" spans="1:21" ht="34.5" customHeight="1">
      <c r="A18" s="248">
        <v>14</v>
      </c>
      <c r="B18" s="430" t="s">
        <v>24</v>
      </c>
      <c r="C18" s="32" t="s">
        <v>13</v>
      </c>
      <c r="D18" s="14" t="s">
        <v>47</v>
      </c>
      <c r="E18" s="15">
        <v>53719</v>
      </c>
      <c r="F18" s="15">
        <v>53719</v>
      </c>
      <c r="G18" s="15">
        <f t="shared" si="0"/>
        <v>64999.99</v>
      </c>
      <c r="H18" s="15">
        <v>30000</v>
      </c>
      <c r="I18" s="263" t="s">
        <v>90</v>
      </c>
      <c r="J18" s="176">
        <v>35.5</v>
      </c>
      <c r="K18" s="432">
        <v>371264</v>
      </c>
      <c r="L18" s="432">
        <f>M18-K18</f>
        <v>92816</v>
      </c>
      <c r="M18" s="432">
        <f t="shared" si="2"/>
        <v>464080</v>
      </c>
      <c r="N18" s="434">
        <f>H18+H19</f>
        <v>90000</v>
      </c>
      <c r="O18" s="146">
        <f>H18*0.8</f>
        <v>24000</v>
      </c>
      <c r="P18" s="147">
        <f>H18*0.2</f>
        <v>6000</v>
      </c>
      <c r="Q18" s="150">
        <f>O18+P18</f>
        <v>30000</v>
      </c>
      <c r="R18" s="146"/>
      <c r="S18" s="147"/>
      <c r="T18" s="150"/>
      <c r="U18" s="156"/>
    </row>
    <row r="19" spans="1:21" ht="52.5" customHeight="1" thickBot="1">
      <c r="A19" s="250">
        <v>15</v>
      </c>
      <c r="B19" s="431"/>
      <c r="C19" s="29" t="s">
        <v>14</v>
      </c>
      <c r="D19" s="30" t="s">
        <v>47</v>
      </c>
      <c r="E19" s="31">
        <v>407437.24</v>
      </c>
      <c r="F19" s="31">
        <v>272726.55</v>
      </c>
      <c r="G19" s="31">
        <f t="shared" si="0"/>
        <v>329999.12549999997</v>
      </c>
      <c r="H19" s="31">
        <v>60000</v>
      </c>
      <c r="I19" s="262" t="s">
        <v>96</v>
      </c>
      <c r="J19" s="63">
        <v>34.6</v>
      </c>
      <c r="K19" s="433"/>
      <c r="L19" s="433">
        <f t="shared" si="2"/>
        <v>43.25</v>
      </c>
      <c r="M19" s="433">
        <f t="shared" si="2"/>
        <v>0</v>
      </c>
      <c r="N19" s="435"/>
      <c r="O19" s="137"/>
      <c r="P19" s="138"/>
      <c r="Q19" s="139"/>
      <c r="R19" s="135"/>
      <c r="S19" s="136"/>
      <c r="T19" s="139"/>
      <c r="U19" s="156" t="s">
        <v>76</v>
      </c>
    </row>
    <row r="20" spans="1:21" ht="30.75" customHeight="1" thickBot="1">
      <c r="D20" s="242" t="s">
        <v>63</v>
      </c>
      <c r="E20" s="244">
        <f>SUM(E5:E19)</f>
        <v>7064672.919999999</v>
      </c>
      <c r="F20" s="244">
        <f t="shared" ref="F20:T20" si="3">SUM(F5:F19)</f>
        <v>5561127.0099999988</v>
      </c>
      <c r="G20" s="244">
        <f t="shared" si="3"/>
        <v>6728963.6820999999</v>
      </c>
      <c r="H20" s="243">
        <f t="shared" si="3"/>
        <v>2749515.2080399999</v>
      </c>
      <c r="I20" s="246"/>
      <c r="K20" s="119">
        <f t="shared" si="3"/>
        <v>2289605</v>
      </c>
      <c r="L20" s="119">
        <f t="shared" si="3"/>
        <v>572741</v>
      </c>
      <c r="M20" s="119">
        <f t="shared" si="2"/>
        <v>2862006.25</v>
      </c>
      <c r="N20" s="119">
        <f t="shared" si="3"/>
        <v>2749515.2080399999</v>
      </c>
      <c r="O20" s="119">
        <f t="shared" si="3"/>
        <v>276018.95379200001</v>
      </c>
      <c r="P20" s="119">
        <f t="shared" si="3"/>
        <v>69004.738448000004</v>
      </c>
      <c r="Q20" s="119">
        <f t="shared" si="3"/>
        <v>345023.69224</v>
      </c>
      <c r="R20" s="119">
        <f t="shared" si="3"/>
        <v>0</v>
      </c>
      <c r="S20" s="119">
        <f t="shared" si="3"/>
        <v>0</v>
      </c>
      <c r="T20" s="119">
        <f t="shared" si="3"/>
        <v>0</v>
      </c>
    </row>
    <row r="22" spans="1:21" ht="23.25" customHeight="1">
      <c r="G22" s="117"/>
      <c r="H22" s="117"/>
      <c r="O22" s="170">
        <f>O20+R20</f>
        <v>276018.95379200001</v>
      </c>
      <c r="P22" s="170">
        <f>P20+S20</f>
        <v>69004.738448000004</v>
      </c>
      <c r="Q22" s="170">
        <f>Q20+T20</f>
        <v>345023.69224</v>
      </c>
    </row>
    <row r="23" spans="1:21" ht="23.25" customHeight="1" thickBot="1">
      <c r="O23" s="171">
        <f>O22/Q22</f>
        <v>0.8</v>
      </c>
      <c r="P23" s="171">
        <f>P22/Q22</f>
        <v>0.2</v>
      </c>
      <c r="Q23" s="4"/>
    </row>
    <row r="24" spans="1:21" ht="23.25" customHeight="1" thickBot="1">
      <c r="N24" s="65" t="s">
        <v>78</v>
      </c>
      <c r="O24" s="172">
        <v>816040</v>
      </c>
      <c r="P24" s="173">
        <v>204010</v>
      </c>
      <c r="Q24" s="174">
        <f>SUM(O24:P24)</f>
        <v>1020050</v>
      </c>
    </row>
    <row r="27" spans="1:21">
      <c r="S27" s="117"/>
    </row>
  </sheetData>
  <mergeCells count="23">
    <mergeCell ref="O1:P1"/>
    <mergeCell ref="O3:Q3"/>
    <mergeCell ref="R3:T3"/>
    <mergeCell ref="B5:B9"/>
    <mergeCell ref="K5:K9"/>
    <mergeCell ref="L5:L9"/>
    <mergeCell ref="M5:M9"/>
    <mergeCell ref="N5:N9"/>
    <mergeCell ref="B13:B16"/>
    <mergeCell ref="K13:K16"/>
    <mergeCell ref="L13:L16"/>
    <mergeCell ref="M13:M16"/>
    <mergeCell ref="N13:N16"/>
    <mergeCell ref="B11:B12"/>
    <mergeCell ref="K11:K12"/>
    <mergeCell ref="L11:L12"/>
    <mergeCell ref="M11:M12"/>
    <mergeCell ref="N11:N12"/>
    <mergeCell ref="B18:B19"/>
    <mergeCell ref="K18:K19"/>
    <mergeCell ref="L18:L19"/>
    <mergeCell ref="M18:M19"/>
    <mergeCell ref="N18:N19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35"/>
  <sheetViews>
    <sheetView tabSelected="1" zoomScale="60" zoomScaleNormal="60" zoomScaleSheetLayoutView="75" workbookViewId="0">
      <selection activeCell="A2" sqref="A2:C2"/>
    </sheetView>
  </sheetViews>
  <sheetFormatPr baseColWidth="10" defaultRowHeight="14.25"/>
  <cols>
    <col min="1" max="1" width="32.7109375" style="4" customWidth="1"/>
    <col min="2" max="2" width="78.85546875" style="11" customWidth="1"/>
    <col min="3" max="3" width="165.85546875" style="416" customWidth="1"/>
    <col min="4" max="4" width="28.7109375" style="417" bestFit="1" customWidth="1"/>
    <col min="5" max="14" width="11.42578125" style="417"/>
    <col min="15" max="16384" width="11.42578125" style="416"/>
  </cols>
  <sheetData>
    <row r="1" spans="1:14" s="414" customFormat="1" ht="109.5" customHeight="1">
      <c r="A1" s="471" t="s">
        <v>147</v>
      </c>
      <c r="B1" s="471"/>
      <c r="C1" s="471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</row>
    <row r="2" spans="1:14" s="414" customFormat="1" ht="58.5" customHeight="1">
      <c r="A2" s="473" t="s">
        <v>148</v>
      </c>
      <c r="B2" s="474"/>
      <c r="C2" s="474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</row>
    <row r="3" spans="1:14" s="414" customFormat="1" ht="69.95" customHeight="1">
      <c r="A3" s="472" t="s">
        <v>141</v>
      </c>
      <c r="B3" s="472"/>
      <c r="C3" s="472"/>
      <c r="D3" s="418"/>
      <c r="E3" s="418"/>
      <c r="F3" s="417"/>
      <c r="G3" s="417"/>
      <c r="H3" s="417"/>
      <c r="I3" s="417"/>
      <c r="J3" s="417"/>
      <c r="K3" s="417"/>
      <c r="L3" s="417"/>
      <c r="M3" s="417"/>
      <c r="N3" s="417"/>
    </row>
    <row r="4" spans="1:14" s="407" customFormat="1" ht="69.95" customHeight="1">
      <c r="A4" s="405" t="s">
        <v>48</v>
      </c>
      <c r="B4" s="420" t="s">
        <v>25</v>
      </c>
      <c r="C4" s="405" t="s">
        <v>131</v>
      </c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</row>
    <row r="5" spans="1:14" s="407" customFormat="1" ht="69.95" customHeight="1">
      <c r="A5" s="475" t="s">
        <v>19</v>
      </c>
      <c r="B5" s="410" t="s">
        <v>149</v>
      </c>
      <c r="C5" s="410" t="s">
        <v>150</v>
      </c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</row>
    <row r="6" spans="1:14" s="407" customFormat="1" ht="69.95" customHeight="1">
      <c r="A6" s="476"/>
      <c r="B6" s="410" t="s">
        <v>151</v>
      </c>
      <c r="C6" s="410" t="s">
        <v>152</v>
      </c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</row>
    <row r="7" spans="1:14" s="415" customFormat="1" ht="69.95" customHeight="1">
      <c r="A7" s="476"/>
      <c r="B7" s="410" t="s">
        <v>153</v>
      </c>
      <c r="C7" s="410" t="s">
        <v>154</v>
      </c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</row>
    <row r="8" spans="1:14" s="415" customFormat="1" ht="69.95" customHeight="1">
      <c r="A8" s="476"/>
      <c r="B8" s="410" t="s">
        <v>155</v>
      </c>
      <c r="C8" s="410" t="s">
        <v>156</v>
      </c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</row>
    <row r="9" spans="1:14" s="415" customFormat="1" ht="69.95" customHeight="1">
      <c r="A9" s="476"/>
      <c r="B9" s="410" t="s">
        <v>132</v>
      </c>
      <c r="C9" s="410" t="s">
        <v>157</v>
      </c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417"/>
    </row>
    <row r="10" spans="1:14" s="415" customFormat="1" ht="69.95" customHeight="1">
      <c r="A10" s="476"/>
      <c r="B10" s="410" t="s">
        <v>158</v>
      </c>
      <c r="C10" s="410" t="s">
        <v>159</v>
      </c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</row>
    <row r="11" spans="1:14" s="415" customFormat="1" ht="69.95" customHeight="1">
      <c r="A11" s="476"/>
      <c r="B11" s="410" t="s">
        <v>158</v>
      </c>
      <c r="C11" s="410" t="s">
        <v>160</v>
      </c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</row>
    <row r="12" spans="1:14" s="415" customFormat="1" ht="69.95" customHeight="1">
      <c r="A12" s="477"/>
      <c r="B12" s="410" t="s">
        <v>136</v>
      </c>
      <c r="C12" s="410" t="s">
        <v>161</v>
      </c>
      <c r="D12" s="417"/>
      <c r="E12" s="417"/>
      <c r="F12" s="417"/>
      <c r="G12" s="417"/>
      <c r="H12" s="417"/>
      <c r="I12" s="417"/>
      <c r="J12" s="417"/>
      <c r="K12" s="417"/>
      <c r="L12" s="417"/>
      <c r="M12" s="417"/>
      <c r="N12" s="417"/>
    </row>
    <row r="13" spans="1:14" s="415" customFormat="1" ht="69.95" customHeight="1">
      <c r="A13" s="411" t="s">
        <v>201</v>
      </c>
      <c r="B13" s="410" t="s">
        <v>163</v>
      </c>
      <c r="C13" s="410" t="s">
        <v>162</v>
      </c>
      <c r="D13" s="417"/>
      <c r="E13" s="417"/>
      <c r="F13" s="417"/>
      <c r="G13" s="417"/>
      <c r="H13" s="417"/>
      <c r="I13" s="417"/>
      <c r="J13" s="417"/>
      <c r="K13" s="417"/>
      <c r="L13" s="417"/>
      <c r="M13" s="417"/>
      <c r="N13" s="417"/>
    </row>
    <row r="14" spans="1:14" s="415" customFormat="1" ht="69.95" customHeight="1">
      <c r="A14" s="475" t="s">
        <v>202</v>
      </c>
      <c r="B14" s="410" t="s">
        <v>164</v>
      </c>
      <c r="C14" s="410" t="s">
        <v>165</v>
      </c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</row>
    <row r="15" spans="1:14" s="415" customFormat="1" ht="69.95" customHeight="1">
      <c r="A15" s="477"/>
      <c r="B15" s="410" t="s">
        <v>166</v>
      </c>
      <c r="C15" s="410" t="s">
        <v>167</v>
      </c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</row>
    <row r="16" spans="1:14" s="407" customFormat="1" ht="69.95" customHeight="1">
      <c r="A16" s="475" t="s">
        <v>203</v>
      </c>
      <c r="B16" s="478" t="s">
        <v>168</v>
      </c>
      <c r="C16" s="410" t="s">
        <v>169</v>
      </c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N16" s="419"/>
    </row>
    <row r="17" spans="1:14" s="407" customFormat="1" ht="69.95" customHeight="1">
      <c r="A17" s="476"/>
      <c r="B17" s="479"/>
      <c r="C17" s="423" t="s">
        <v>170</v>
      </c>
      <c r="D17" s="419"/>
      <c r="E17" s="419"/>
      <c r="F17" s="419"/>
      <c r="G17" s="419"/>
      <c r="H17" s="419"/>
      <c r="I17" s="419"/>
      <c r="J17" s="419"/>
      <c r="K17" s="419"/>
      <c r="L17" s="419"/>
      <c r="M17" s="419"/>
      <c r="N17" s="419"/>
    </row>
    <row r="18" spans="1:14" s="407" customFormat="1" ht="69.95" customHeight="1">
      <c r="A18" s="476"/>
      <c r="B18" s="479"/>
      <c r="C18" s="423" t="s">
        <v>171</v>
      </c>
      <c r="D18" s="419"/>
      <c r="E18" s="419"/>
      <c r="F18" s="419"/>
      <c r="G18" s="419"/>
      <c r="H18" s="419"/>
      <c r="I18" s="419"/>
      <c r="J18" s="419"/>
      <c r="K18" s="419"/>
      <c r="L18" s="419"/>
      <c r="M18" s="419"/>
      <c r="N18" s="419"/>
    </row>
    <row r="19" spans="1:14" s="407" customFormat="1" ht="69.95" customHeight="1">
      <c r="A19" s="476"/>
      <c r="B19" s="480"/>
      <c r="C19" s="423" t="s">
        <v>172</v>
      </c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</row>
    <row r="20" spans="1:14" s="407" customFormat="1" ht="69.95" customHeight="1">
      <c r="A20" s="476"/>
      <c r="B20" s="478" t="s">
        <v>173</v>
      </c>
      <c r="C20" s="410" t="s">
        <v>174</v>
      </c>
      <c r="D20" s="419"/>
      <c r="E20" s="419"/>
      <c r="F20" s="419"/>
      <c r="G20" s="419"/>
      <c r="H20" s="419"/>
      <c r="I20" s="419"/>
      <c r="J20" s="419"/>
      <c r="K20" s="419"/>
      <c r="L20" s="419"/>
      <c r="M20" s="419"/>
      <c r="N20" s="419"/>
    </row>
    <row r="21" spans="1:14" s="407" customFormat="1" ht="69.95" customHeight="1">
      <c r="A21" s="476"/>
      <c r="B21" s="479"/>
      <c r="C21" s="410" t="s">
        <v>175</v>
      </c>
      <c r="D21" s="419"/>
      <c r="E21" s="419"/>
      <c r="F21" s="419"/>
      <c r="G21" s="419"/>
      <c r="H21" s="419"/>
      <c r="I21" s="419"/>
      <c r="J21" s="419"/>
      <c r="K21" s="419"/>
      <c r="L21" s="419"/>
      <c r="M21" s="419"/>
      <c r="N21" s="419"/>
    </row>
    <row r="22" spans="1:14" s="407" customFormat="1" ht="69.95" customHeight="1">
      <c r="A22" s="477"/>
      <c r="B22" s="480"/>
      <c r="C22" s="423" t="s">
        <v>176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</row>
    <row r="23" spans="1:14" s="407" customFormat="1" ht="69.95" customHeight="1">
      <c r="A23" s="411" t="s">
        <v>204</v>
      </c>
      <c r="B23" s="410" t="s">
        <v>177</v>
      </c>
      <c r="C23" s="423" t="s">
        <v>178</v>
      </c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</row>
    <row r="24" spans="1:14" s="407" customFormat="1" ht="69.95" customHeight="1">
      <c r="A24" s="408" t="s">
        <v>114</v>
      </c>
      <c r="B24" s="410" t="s">
        <v>133</v>
      </c>
      <c r="C24" s="423" t="s">
        <v>179</v>
      </c>
      <c r="D24" s="419"/>
      <c r="E24" s="419"/>
      <c r="F24" s="419"/>
      <c r="G24" s="419"/>
      <c r="H24" s="419"/>
      <c r="I24" s="419"/>
      <c r="J24" s="419"/>
      <c r="K24" s="419"/>
      <c r="L24" s="419"/>
      <c r="M24" s="419"/>
      <c r="N24" s="419"/>
    </row>
    <row r="25" spans="1:14" s="407" customFormat="1" ht="69.95" customHeight="1">
      <c r="A25" s="475" t="s">
        <v>205</v>
      </c>
      <c r="B25" s="410" t="s">
        <v>180</v>
      </c>
      <c r="C25" s="423" t="s">
        <v>181</v>
      </c>
      <c r="D25" s="419"/>
      <c r="E25" s="419"/>
      <c r="F25" s="419"/>
      <c r="G25" s="419"/>
      <c r="H25" s="419"/>
      <c r="I25" s="419"/>
      <c r="J25" s="419"/>
      <c r="K25" s="419"/>
      <c r="L25" s="419"/>
      <c r="M25" s="419"/>
      <c r="N25" s="419"/>
    </row>
    <row r="26" spans="1:14" s="407" customFormat="1" ht="69.95" customHeight="1">
      <c r="A26" s="476"/>
      <c r="B26" s="410" t="s">
        <v>182</v>
      </c>
      <c r="C26" s="423" t="s">
        <v>183</v>
      </c>
      <c r="D26" s="419"/>
      <c r="E26" s="419"/>
      <c r="F26" s="419"/>
      <c r="G26" s="419"/>
      <c r="H26" s="419"/>
      <c r="I26" s="419"/>
      <c r="J26" s="419"/>
      <c r="K26" s="419"/>
      <c r="L26" s="419"/>
      <c r="M26" s="419"/>
      <c r="N26" s="419"/>
    </row>
    <row r="27" spans="1:14" s="407" customFormat="1" ht="69.95" customHeight="1">
      <c r="A27" s="476"/>
      <c r="B27" s="410" t="s">
        <v>184</v>
      </c>
      <c r="C27" s="423" t="s">
        <v>185</v>
      </c>
      <c r="D27" s="419"/>
      <c r="E27" s="419"/>
      <c r="F27" s="419"/>
      <c r="G27" s="419"/>
      <c r="H27" s="419"/>
      <c r="I27" s="419"/>
      <c r="J27" s="419"/>
      <c r="K27" s="419"/>
      <c r="L27" s="419"/>
      <c r="M27" s="419"/>
      <c r="N27" s="419"/>
    </row>
    <row r="28" spans="1:14" s="407" customFormat="1" ht="69.95" customHeight="1">
      <c r="A28" s="477"/>
      <c r="B28" s="410" t="s">
        <v>186</v>
      </c>
      <c r="C28" s="423" t="s">
        <v>187</v>
      </c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</row>
    <row r="29" spans="1:14" s="407" customFormat="1" ht="69.95" customHeight="1">
      <c r="A29" s="411" t="s">
        <v>134</v>
      </c>
      <c r="B29" s="423" t="s">
        <v>188</v>
      </c>
      <c r="C29" s="423" t="s">
        <v>189</v>
      </c>
      <c r="D29" s="419"/>
      <c r="E29" s="419"/>
      <c r="F29" s="419"/>
      <c r="G29" s="419"/>
      <c r="H29" s="419"/>
      <c r="I29" s="419"/>
      <c r="J29" s="419"/>
      <c r="K29" s="419"/>
      <c r="L29" s="419"/>
      <c r="M29" s="419"/>
      <c r="N29" s="419"/>
    </row>
    <row r="30" spans="1:14" s="407" customFormat="1" ht="69.95" customHeight="1">
      <c r="A30" s="475" t="s">
        <v>206</v>
      </c>
      <c r="B30" s="423" t="s">
        <v>190</v>
      </c>
      <c r="C30" s="423" t="s">
        <v>191</v>
      </c>
      <c r="D30" s="419"/>
      <c r="E30" s="419"/>
      <c r="F30" s="419"/>
      <c r="G30" s="419"/>
      <c r="H30" s="419"/>
      <c r="I30" s="419"/>
      <c r="J30" s="419"/>
      <c r="K30" s="419"/>
      <c r="L30" s="419"/>
      <c r="M30" s="419"/>
      <c r="N30" s="419"/>
    </row>
    <row r="31" spans="1:14" s="407" customFormat="1" ht="69.95" customHeight="1">
      <c r="A31" s="476"/>
      <c r="B31" s="423" t="s">
        <v>192</v>
      </c>
      <c r="C31" s="423" t="s">
        <v>193</v>
      </c>
      <c r="D31" s="419"/>
      <c r="E31" s="419"/>
      <c r="F31" s="419"/>
      <c r="G31" s="419"/>
      <c r="H31" s="419"/>
      <c r="I31" s="419"/>
      <c r="J31" s="419"/>
      <c r="K31" s="419"/>
      <c r="L31" s="419"/>
      <c r="M31" s="419"/>
      <c r="N31" s="419"/>
    </row>
    <row r="32" spans="1:14" s="407" customFormat="1" ht="69.95" customHeight="1">
      <c r="A32" s="477"/>
      <c r="B32" s="423" t="s">
        <v>194</v>
      </c>
      <c r="C32" s="423" t="s">
        <v>195</v>
      </c>
      <c r="D32" s="419"/>
      <c r="E32" s="419"/>
      <c r="F32" s="419"/>
      <c r="G32" s="419"/>
      <c r="H32" s="419"/>
      <c r="I32" s="419"/>
      <c r="J32" s="419"/>
      <c r="K32" s="419"/>
      <c r="L32" s="419"/>
      <c r="M32" s="419"/>
      <c r="N32" s="419"/>
    </row>
    <row r="33" spans="1:14" s="407" customFormat="1" ht="69.95" customHeight="1">
      <c r="A33" s="481" t="s">
        <v>130</v>
      </c>
      <c r="B33" s="410" t="s">
        <v>196</v>
      </c>
      <c r="C33" s="423" t="s">
        <v>197</v>
      </c>
      <c r="D33" s="419"/>
      <c r="E33" s="419"/>
      <c r="F33" s="419"/>
      <c r="G33" s="419"/>
      <c r="H33" s="419"/>
      <c r="I33" s="419"/>
      <c r="J33" s="419"/>
      <c r="K33" s="419"/>
      <c r="L33" s="419"/>
      <c r="M33" s="419"/>
      <c r="N33" s="419"/>
    </row>
    <row r="34" spans="1:14" s="407" customFormat="1" ht="69.95" customHeight="1">
      <c r="A34" s="481"/>
      <c r="B34" s="410" t="s">
        <v>198</v>
      </c>
      <c r="C34" s="423" t="s">
        <v>199</v>
      </c>
      <c r="D34" s="419"/>
      <c r="E34" s="419"/>
      <c r="F34" s="419"/>
      <c r="G34" s="419"/>
      <c r="H34" s="419"/>
      <c r="I34" s="419"/>
      <c r="J34" s="419"/>
      <c r="K34" s="419"/>
      <c r="L34" s="419"/>
      <c r="M34" s="419"/>
      <c r="N34" s="419"/>
    </row>
    <row r="35" spans="1:14" s="407" customFormat="1" ht="69.95" customHeight="1">
      <c r="A35" s="481"/>
      <c r="B35" s="410" t="s">
        <v>135</v>
      </c>
      <c r="C35" s="423" t="s">
        <v>200</v>
      </c>
      <c r="D35" s="419"/>
      <c r="E35" s="419"/>
      <c r="F35" s="419"/>
      <c r="G35" s="419"/>
      <c r="H35" s="419"/>
      <c r="I35" s="419"/>
      <c r="J35" s="419"/>
      <c r="K35" s="419"/>
      <c r="L35" s="419"/>
      <c r="M35" s="419"/>
      <c r="N35" s="419"/>
    </row>
  </sheetData>
  <mergeCells count="11">
    <mergeCell ref="B20:B22"/>
    <mergeCell ref="A33:A35"/>
    <mergeCell ref="A14:A15"/>
    <mergeCell ref="A16:A22"/>
    <mergeCell ref="A25:A28"/>
    <mergeCell ref="A30:A32"/>
    <mergeCell ref="A1:C1"/>
    <mergeCell ref="A3:C3"/>
    <mergeCell ref="A2:C2"/>
    <mergeCell ref="A5:A12"/>
    <mergeCell ref="B16:B19"/>
  </mergeCells>
  <printOptions horizontalCentered="1" verticalCentered="1"/>
  <pageMargins left="3.937007874015748E-2" right="3.937007874015748E-2" top="0.15748031496062992" bottom="0.15748031496062992" header="0.31496062992125984" footer="0.31496062992125984"/>
  <pageSetup paperSize="9" scale="37" fitToHeight="2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10"/>
  <sheetViews>
    <sheetView topLeftCell="C1" zoomScale="60" zoomScaleNormal="60" zoomScaleSheetLayoutView="75" workbookViewId="0">
      <selection activeCell="H6" sqref="H6"/>
    </sheetView>
  </sheetViews>
  <sheetFormatPr baseColWidth="10" defaultRowHeight="14.25"/>
  <cols>
    <col min="1" max="1" width="30.140625" style="4" customWidth="1"/>
    <col min="2" max="2" width="73.140625" style="11" customWidth="1"/>
    <col min="3" max="3" width="149.42578125" style="416" customWidth="1"/>
    <col min="4" max="4" width="52.5703125" style="417" customWidth="1"/>
    <col min="5" max="13" width="11.42578125" style="417"/>
    <col min="14" max="16384" width="11.42578125" style="416"/>
  </cols>
  <sheetData>
    <row r="1" spans="1:13" s="414" customFormat="1" ht="109.5" customHeight="1">
      <c r="A1" s="471" t="s">
        <v>146</v>
      </c>
      <c r="B1" s="471"/>
      <c r="C1" s="471"/>
      <c r="D1" s="471"/>
      <c r="E1" s="417"/>
      <c r="F1" s="417"/>
      <c r="G1" s="417"/>
      <c r="H1" s="417"/>
      <c r="I1" s="417"/>
      <c r="J1" s="417"/>
      <c r="K1" s="417"/>
      <c r="L1" s="417"/>
      <c r="M1" s="417"/>
    </row>
    <row r="2" spans="1:13" s="414" customFormat="1" ht="58.5" customHeight="1">
      <c r="A2" s="473" t="s">
        <v>143</v>
      </c>
      <c r="B2" s="474"/>
      <c r="C2" s="474"/>
      <c r="D2" s="474"/>
      <c r="E2" s="417"/>
      <c r="F2" s="417"/>
      <c r="G2" s="417"/>
      <c r="H2" s="417"/>
      <c r="I2" s="417"/>
      <c r="J2" s="417"/>
      <c r="K2" s="417"/>
      <c r="L2" s="417"/>
      <c r="M2" s="417"/>
    </row>
    <row r="3" spans="1:13" s="414" customFormat="1" ht="69.95" customHeight="1">
      <c r="A3" s="472" t="s">
        <v>141</v>
      </c>
      <c r="B3" s="472"/>
      <c r="C3" s="472"/>
      <c r="D3" s="472"/>
      <c r="E3" s="417"/>
      <c r="F3" s="417"/>
      <c r="G3" s="417"/>
      <c r="H3" s="417"/>
      <c r="I3" s="417"/>
      <c r="J3" s="417"/>
      <c r="K3" s="417"/>
      <c r="L3" s="417"/>
      <c r="M3" s="417"/>
    </row>
    <row r="4" spans="1:13" s="407" customFormat="1" ht="69.95" customHeight="1">
      <c r="A4" s="405" t="s">
        <v>48</v>
      </c>
      <c r="B4" s="420" t="s">
        <v>25</v>
      </c>
      <c r="C4" s="405" t="s">
        <v>131</v>
      </c>
      <c r="D4" s="406" t="s">
        <v>140</v>
      </c>
      <c r="E4" s="419"/>
      <c r="F4" s="419"/>
      <c r="G4" s="419"/>
      <c r="H4" s="419"/>
      <c r="I4" s="419"/>
      <c r="J4" s="419"/>
      <c r="K4" s="419"/>
      <c r="L4" s="419"/>
      <c r="M4" s="419"/>
    </row>
    <row r="5" spans="1:13" s="415" customFormat="1" ht="150" customHeight="1">
      <c r="A5" s="475" t="s">
        <v>203</v>
      </c>
      <c r="B5" s="482" t="s">
        <v>168</v>
      </c>
      <c r="C5" s="423" t="s">
        <v>170</v>
      </c>
      <c r="D5" s="487" t="s">
        <v>207</v>
      </c>
      <c r="E5" s="417"/>
      <c r="F5" s="417"/>
      <c r="G5" s="417"/>
      <c r="H5" s="417"/>
      <c r="I5" s="417"/>
      <c r="J5" s="417"/>
      <c r="K5" s="417"/>
      <c r="L5" s="417"/>
      <c r="M5" s="417"/>
    </row>
    <row r="6" spans="1:13" s="415" customFormat="1" ht="150" customHeight="1">
      <c r="A6" s="476"/>
      <c r="B6" s="482"/>
      <c r="C6" s="423" t="s">
        <v>171</v>
      </c>
      <c r="D6" s="487" t="s">
        <v>208</v>
      </c>
      <c r="E6" s="417"/>
      <c r="F6" s="417"/>
      <c r="G6" s="417"/>
      <c r="H6" s="417"/>
      <c r="I6" s="417"/>
      <c r="J6" s="417"/>
      <c r="K6" s="417"/>
      <c r="L6" s="417"/>
      <c r="M6" s="417"/>
    </row>
    <row r="7" spans="1:13" s="407" customFormat="1" ht="150" customHeight="1">
      <c r="A7" s="477"/>
      <c r="B7" s="483"/>
      <c r="C7" s="423" t="s">
        <v>172</v>
      </c>
      <c r="D7" s="487" t="s">
        <v>208</v>
      </c>
      <c r="E7" s="419"/>
      <c r="F7" s="419"/>
      <c r="G7" s="419"/>
      <c r="H7" s="419"/>
      <c r="I7" s="419"/>
      <c r="J7" s="419"/>
      <c r="K7" s="419"/>
      <c r="L7" s="419"/>
      <c r="M7" s="419"/>
    </row>
    <row r="8" spans="1:13" s="407" customFormat="1" ht="150" customHeight="1">
      <c r="A8" s="422" t="s">
        <v>134</v>
      </c>
      <c r="B8" s="423" t="s">
        <v>188</v>
      </c>
      <c r="C8" s="423" t="s">
        <v>189</v>
      </c>
      <c r="D8" s="487" t="s">
        <v>209</v>
      </c>
      <c r="E8" s="419"/>
      <c r="F8" s="419"/>
      <c r="G8" s="419"/>
      <c r="H8" s="419"/>
      <c r="I8" s="419"/>
      <c r="J8" s="419"/>
      <c r="K8" s="419"/>
      <c r="L8" s="419"/>
      <c r="M8" s="419"/>
    </row>
    <row r="9" spans="1:13" s="407" customFormat="1" ht="150" customHeight="1">
      <c r="A9" s="475" t="s">
        <v>206</v>
      </c>
      <c r="B9" s="423" t="s">
        <v>190</v>
      </c>
      <c r="C9" s="423" t="s">
        <v>191</v>
      </c>
      <c r="D9" s="487" t="s">
        <v>209</v>
      </c>
      <c r="E9" s="419"/>
      <c r="F9" s="419"/>
      <c r="G9" s="419"/>
      <c r="H9" s="419"/>
      <c r="I9" s="419"/>
      <c r="J9" s="419"/>
      <c r="K9" s="419"/>
      <c r="L9" s="419"/>
      <c r="M9" s="419"/>
    </row>
    <row r="10" spans="1:13" s="407" customFormat="1" ht="150" customHeight="1">
      <c r="A10" s="477"/>
      <c r="B10" s="423" t="s">
        <v>194</v>
      </c>
      <c r="C10" s="423" t="s">
        <v>195</v>
      </c>
      <c r="D10" s="487" t="s">
        <v>209</v>
      </c>
      <c r="E10" s="419"/>
      <c r="F10" s="419"/>
      <c r="G10" s="419"/>
      <c r="H10" s="419"/>
      <c r="I10" s="419"/>
      <c r="J10" s="419"/>
      <c r="K10" s="419"/>
      <c r="L10" s="419"/>
      <c r="M10" s="419"/>
    </row>
  </sheetData>
  <mergeCells count="6">
    <mergeCell ref="A5:A7"/>
    <mergeCell ref="A9:A10"/>
    <mergeCell ref="A3:D3"/>
    <mergeCell ref="A1:D1"/>
    <mergeCell ref="A2:D2"/>
    <mergeCell ref="B5:B7"/>
  </mergeCells>
  <printOptions horizontalCentered="1" verticalCentered="1"/>
  <pageMargins left="3.937007874015748E-2" right="3.937007874015748E-2" top="0.15748031496062992" bottom="0.15748031496062992" header="0.31496062992125984" footer="0.31496062992125984"/>
  <pageSetup paperSize="9" scale="40" fitToHeight="2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9"/>
  <sheetViews>
    <sheetView zoomScale="60" zoomScaleNormal="60" zoomScaleSheetLayoutView="75" workbookViewId="0">
      <selection activeCell="B5" sqref="A5:XFD19"/>
    </sheetView>
  </sheetViews>
  <sheetFormatPr baseColWidth="10" defaultRowHeight="14.25"/>
  <cols>
    <col min="1" max="1" width="39.85546875" style="4" customWidth="1"/>
    <col min="2" max="2" width="61" style="11" customWidth="1"/>
    <col min="3" max="3" width="155.85546875" style="1" customWidth="1"/>
    <col min="4" max="4" width="31.140625" style="1" customWidth="1"/>
    <col min="5" max="5" width="25.7109375" style="1" customWidth="1"/>
    <col min="6" max="16384" width="11.42578125" style="1"/>
  </cols>
  <sheetData>
    <row r="1" spans="1:5" s="349" customFormat="1" ht="99" customHeight="1">
      <c r="A1" s="471" t="s">
        <v>145</v>
      </c>
      <c r="B1" s="471"/>
      <c r="C1" s="471"/>
      <c r="D1" s="471"/>
      <c r="E1" s="471"/>
    </row>
    <row r="2" spans="1:5" s="349" customFormat="1" ht="59.25" customHeight="1">
      <c r="A2" s="473" t="s">
        <v>143</v>
      </c>
      <c r="B2" s="474"/>
      <c r="C2" s="474"/>
      <c r="D2" s="474"/>
      <c r="E2" s="474"/>
    </row>
    <row r="3" spans="1:5" s="349" customFormat="1" ht="59.25" customHeight="1">
      <c r="A3" s="472" t="s">
        <v>141</v>
      </c>
      <c r="B3" s="484"/>
      <c r="C3" s="484"/>
      <c r="D3" s="484"/>
      <c r="E3" s="484"/>
    </row>
    <row r="4" spans="1:5" s="407" customFormat="1" ht="73.5" customHeight="1">
      <c r="A4" s="405" t="s">
        <v>48</v>
      </c>
      <c r="B4" s="406" t="s">
        <v>25</v>
      </c>
      <c r="C4" s="405" t="s">
        <v>131</v>
      </c>
      <c r="D4" s="406" t="s">
        <v>210</v>
      </c>
      <c r="E4" s="406" t="s">
        <v>138</v>
      </c>
    </row>
    <row r="5" spans="1:5" s="407" customFormat="1" ht="75" customHeight="1">
      <c r="A5" s="475" t="s">
        <v>19</v>
      </c>
      <c r="B5" s="410" t="s">
        <v>149</v>
      </c>
      <c r="C5" s="410" t="s">
        <v>150</v>
      </c>
      <c r="D5" s="409">
        <v>923940</v>
      </c>
      <c r="E5" s="413">
        <v>49.7</v>
      </c>
    </row>
    <row r="6" spans="1:5" s="407" customFormat="1" ht="75" customHeight="1">
      <c r="A6" s="476"/>
      <c r="B6" s="410" t="s">
        <v>151</v>
      </c>
      <c r="C6" s="410" t="s">
        <v>152</v>
      </c>
      <c r="D6" s="409">
        <v>213228.78</v>
      </c>
      <c r="E6" s="413">
        <v>49.3</v>
      </c>
    </row>
    <row r="7" spans="1:5" s="407" customFormat="1" ht="75" customHeight="1">
      <c r="A7" s="476"/>
      <c r="B7" s="410" t="s">
        <v>153</v>
      </c>
      <c r="C7" s="410" t="s">
        <v>154</v>
      </c>
      <c r="D7" s="409">
        <v>111100</v>
      </c>
      <c r="E7" s="413">
        <v>67</v>
      </c>
    </row>
    <row r="8" spans="1:5" s="407" customFormat="1" ht="75" customHeight="1">
      <c r="A8" s="476"/>
      <c r="B8" s="410" t="s">
        <v>155</v>
      </c>
      <c r="C8" s="410" t="s">
        <v>156</v>
      </c>
      <c r="D8" s="409">
        <v>203182.9</v>
      </c>
      <c r="E8" s="413">
        <v>74</v>
      </c>
    </row>
    <row r="9" spans="1:5" s="404" customFormat="1" ht="75" customHeight="1">
      <c r="A9" s="476"/>
      <c r="B9" s="410" t="s">
        <v>132</v>
      </c>
      <c r="C9" s="410" t="s">
        <v>157</v>
      </c>
      <c r="D9" s="409">
        <v>105900</v>
      </c>
      <c r="E9" s="413">
        <v>60.5</v>
      </c>
    </row>
    <row r="10" spans="1:5" s="404" customFormat="1" ht="75" customHeight="1">
      <c r="A10" s="476"/>
      <c r="B10" s="410" t="s">
        <v>158</v>
      </c>
      <c r="C10" s="410" t="s">
        <v>159</v>
      </c>
      <c r="D10" s="409">
        <v>1626725.84</v>
      </c>
      <c r="E10" s="413">
        <v>66.7</v>
      </c>
    </row>
    <row r="11" spans="1:5" s="404" customFormat="1" ht="75" customHeight="1">
      <c r="A11" s="476"/>
      <c r="B11" s="410" t="s">
        <v>158</v>
      </c>
      <c r="C11" s="410" t="s">
        <v>160</v>
      </c>
      <c r="D11" s="409">
        <v>591544.39</v>
      </c>
      <c r="E11" s="413">
        <v>48.1</v>
      </c>
    </row>
    <row r="12" spans="1:5" s="404" customFormat="1" ht="75" customHeight="1">
      <c r="A12" s="477"/>
      <c r="B12" s="410" t="s">
        <v>136</v>
      </c>
      <c r="C12" s="410" t="s">
        <v>161</v>
      </c>
      <c r="D12" s="409">
        <v>250000</v>
      </c>
      <c r="E12" s="413">
        <v>64.7</v>
      </c>
    </row>
    <row r="13" spans="1:5" ht="75" customHeight="1">
      <c r="A13" s="411" t="s">
        <v>201</v>
      </c>
      <c r="B13" s="410" t="s">
        <v>163</v>
      </c>
      <c r="C13" s="410" t="s">
        <v>162</v>
      </c>
      <c r="D13" s="409">
        <v>120425</v>
      </c>
      <c r="E13" s="413">
        <v>66.599999999999994</v>
      </c>
    </row>
    <row r="14" spans="1:5" ht="75" customHeight="1">
      <c r="A14" s="475" t="s">
        <v>202</v>
      </c>
      <c r="B14" s="410" t="s">
        <v>164</v>
      </c>
      <c r="C14" s="410" t="s">
        <v>165</v>
      </c>
      <c r="D14" s="409">
        <v>82280</v>
      </c>
      <c r="E14" s="413">
        <v>34</v>
      </c>
    </row>
    <row r="15" spans="1:5" ht="75" customHeight="1">
      <c r="A15" s="477"/>
      <c r="B15" s="410" t="s">
        <v>166</v>
      </c>
      <c r="C15" s="410" t="s">
        <v>167</v>
      </c>
      <c r="D15" s="409">
        <v>147169.96</v>
      </c>
      <c r="E15" s="413">
        <v>74</v>
      </c>
    </row>
    <row r="16" spans="1:5" ht="75" customHeight="1">
      <c r="A16" s="475" t="s">
        <v>203</v>
      </c>
      <c r="B16" s="412" t="s">
        <v>168</v>
      </c>
      <c r="C16" s="410" t="s">
        <v>169</v>
      </c>
      <c r="D16" s="409">
        <v>180178.53</v>
      </c>
      <c r="E16" s="413">
        <v>63.3</v>
      </c>
    </row>
    <row r="17" spans="1:5" ht="75" customHeight="1">
      <c r="A17" s="476"/>
      <c r="B17" s="478" t="s">
        <v>173</v>
      </c>
      <c r="C17" s="410" t="s">
        <v>174</v>
      </c>
      <c r="D17" s="409">
        <v>82231.09</v>
      </c>
      <c r="E17" s="413">
        <v>61.9</v>
      </c>
    </row>
    <row r="18" spans="1:5" ht="75" customHeight="1">
      <c r="A18" s="476"/>
      <c r="B18" s="479"/>
      <c r="C18" s="410" t="s">
        <v>175</v>
      </c>
      <c r="D18" s="409">
        <v>212364.67</v>
      </c>
      <c r="E18" s="413">
        <v>60.5</v>
      </c>
    </row>
    <row r="19" spans="1:5" ht="75" customHeight="1">
      <c r="A19" s="477"/>
      <c r="B19" s="480"/>
      <c r="C19" s="423" t="s">
        <v>176</v>
      </c>
      <c r="D19" s="409">
        <v>106711.73</v>
      </c>
      <c r="E19" s="413">
        <v>37.5</v>
      </c>
    </row>
    <row r="20" spans="1:5" ht="90" customHeight="1">
      <c r="A20" s="411" t="s">
        <v>204</v>
      </c>
      <c r="B20" s="410" t="s">
        <v>177</v>
      </c>
      <c r="C20" s="423" t="s">
        <v>178</v>
      </c>
      <c r="D20" s="409">
        <v>52556.35</v>
      </c>
      <c r="E20" s="413">
        <v>52</v>
      </c>
    </row>
    <row r="21" spans="1:5" ht="90" customHeight="1">
      <c r="A21" s="422" t="s">
        <v>114</v>
      </c>
      <c r="B21" s="410" t="s">
        <v>133</v>
      </c>
      <c r="C21" s="423" t="s">
        <v>179</v>
      </c>
      <c r="D21" s="409">
        <v>242000</v>
      </c>
      <c r="E21" s="413">
        <v>51.3</v>
      </c>
    </row>
    <row r="22" spans="1:5" ht="90" customHeight="1">
      <c r="A22" s="475" t="s">
        <v>205</v>
      </c>
      <c r="B22" s="410" t="s">
        <v>180</v>
      </c>
      <c r="C22" s="423" t="s">
        <v>181</v>
      </c>
      <c r="D22" s="409">
        <v>211356.64</v>
      </c>
      <c r="E22" s="413">
        <v>43.3</v>
      </c>
    </row>
    <row r="23" spans="1:5" ht="90" customHeight="1">
      <c r="A23" s="476"/>
      <c r="B23" s="410" t="s">
        <v>182</v>
      </c>
      <c r="C23" s="423" t="s">
        <v>183</v>
      </c>
      <c r="D23" s="409">
        <v>86025.05</v>
      </c>
      <c r="E23" s="413">
        <v>52.9</v>
      </c>
    </row>
    <row r="24" spans="1:5" ht="90" customHeight="1">
      <c r="A24" s="476"/>
      <c r="B24" s="410" t="s">
        <v>184</v>
      </c>
      <c r="C24" s="423" t="s">
        <v>185</v>
      </c>
      <c r="D24" s="409">
        <v>75552.14</v>
      </c>
      <c r="E24" s="413">
        <v>33.799999999999997</v>
      </c>
    </row>
    <row r="25" spans="1:5" ht="90" customHeight="1">
      <c r="A25" s="477"/>
      <c r="B25" s="410" t="s">
        <v>186</v>
      </c>
      <c r="C25" s="423" t="s">
        <v>187</v>
      </c>
      <c r="D25" s="409">
        <v>83500</v>
      </c>
      <c r="E25" s="413">
        <v>50.8</v>
      </c>
    </row>
    <row r="26" spans="1:5" ht="90" customHeight="1">
      <c r="A26" s="476" t="s">
        <v>206</v>
      </c>
      <c r="B26" s="423" t="s">
        <v>192</v>
      </c>
      <c r="C26" s="423" t="s">
        <v>193</v>
      </c>
      <c r="D26" s="409">
        <v>72413.66</v>
      </c>
      <c r="E26" s="413">
        <v>52.7</v>
      </c>
    </row>
    <row r="27" spans="1:5" ht="90" customHeight="1">
      <c r="A27" s="481" t="s">
        <v>130</v>
      </c>
      <c r="B27" s="410" t="s">
        <v>196</v>
      </c>
      <c r="C27" s="423" t="s">
        <v>197</v>
      </c>
      <c r="D27" s="409">
        <v>73993.710000000006</v>
      </c>
      <c r="E27" s="413">
        <v>57.1</v>
      </c>
    </row>
    <row r="28" spans="1:5" ht="90" customHeight="1">
      <c r="A28" s="481"/>
      <c r="B28" s="410" t="s">
        <v>198</v>
      </c>
      <c r="C28" s="423" t="s">
        <v>199</v>
      </c>
      <c r="D28" s="409">
        <v>102106.26</v>
      </c>
      <c r="E28" s="413">
        <v>59.1</v>
      </c>
    </row>
    <row r="29" spans="1:5" ht="90" customHeight="1">
      <c r="A29" s="481"/>
      <c r="B29" s="410" t="s">
        <v>135</v>
      </c>
      <c r="C29" s="423" t="s">
        <v>200</v>
      </c>
      <c r="D29" s="409">
        <v>140348.68</v>
      </c>
      <c r="E29" s="413">
        <v>90</v>
      </c>
    </row>
  </sheetData>
  <mergeCells count="10">
    <mergeCell ref="A27:A29"/>
    <mergeCell ref="A14:A15"/>
    <mergeCell ref="A16:A19"/>
    <mergeCell ref="B17:B19"/>
    <mergeCell ref="A22:A25"/>
    <mergeCell ref="A3:E3"/>
    <mergeCell ref="A1:E1"/>
    <mergeCell ref="A2:E2"/>
    <mergeCell ref="A5:A12"/>
    <mergeCell ref="A26"/>
  </mergeCells>
  <printOptions horizontalCentered="1" verticalCentered="1"/>
  <pageMargins left="3.937007874015748E-2" right="3.937007874015748E-2" top="0.15748031496062992" bottom="0.15748031496062992" header="0.31496062992125984" footer="0.31496062992125984"/>
  <pageSetup paperSize="9" scale="41" fitToHeight="2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9"/>
  <sheetViews>
    <sheetView topLeftCell="B1" zoomScale="55" zoomScaleNormal="55" zoomScaleSheetLayoutView="75" workbookViewId="0">
      <selection sqref="A1:F1"/>
    </sheetView>
  </sheetViews>
  <sheetFormatPr baseColWidth="10" defaultRowHeight="14.25"/>
  <cols>
    <col min="1" max="1" width="36.28515625" style="4" customWidth="1"/>
    <col min="2" max="2" width="56.28515625" style="11" customWidth="1"/>
    <col min="3" max="3" width="126.28515625" style="1" customWidth="1"/>
    <col min="4" max="4" width="33.42578125" style="1" customWidth="1"/>
    <col min="5" max="5" width="23.7109375" style="1" customWidth="1"/>
    <col min="6" max="6" width="31.5703125" style="1" customWidth="1"/>
    <col min="7" max="16384" width="11.42578125" style="1"/>
  </cols>
  <sheetData>
    <row r="1" spans="1:6" s="349" customFormat="1" ht="145.5" customHeight="1">
      <c r="A1" s="471" t="s">
        <v>144</v>
      </c>
      <c r="B1" s="471"/>
      <c r="C1" s="471"/>
      <c r="D1" s="471"/>
      <c r="E1" s="471"/>
      <c r="F1" s="471"/>
    </row>
    <row r="2" spans="1:6" s="349" customFormat="1" ht="76.5" customHeight="1">
      <c r="A2" s="421"/>
      <c r="B2" s="421"/>
      <c r="C2" s="485" t="s">
        <v>142</v>
      </c>
      <c r="D2" s="485"/>
      <c r="E2" s="485"/>
      <c r="F2" s="485"/>
    </row>
    <row r="3" spans="1:6" s="349" customFormat="1" ht="147.75" customHeight="1">
      <c r="A3" s="472" t="s">
        <v>141</v>
      </c>
      <c r="B3" s="472"/>
      <c r="C3" s="472"/>
      <c r="D3" s="472"/>
      <c r="E3" s="472"/>
      <c r="F3" s="472"/>
    </row>
    <row r="4" spans="1:6" s="407" customFormat="1" ht="162" customHeight="1">
      <c r="A4" s="405" t="s">
        <v>48</v>
      </c>
      <c r="B4" s="406" t="s">
        <v>25</v>
      </c>
      <c r="C4" s="405" t="s">
        <v>131</v>
      </c>
      <c r="D4" s="406" t="s">
        <v>137</v>
      </c>
      <c r="E4" s="406" t="s">
        <v>138</v>
      </c>
      <c r="F4" s="406" t="s">
        <v>139</v>
      </c>
    </row>
    <row r="5" spans="1:6" s="407" customFormat="1" ht="99.95" customHeight="1">
      <c r="A5" s="481" t="s">
        <v>19</v>
      </c>
      <c r="B5" s="410" t="s">
        <v>153</v>
      </c>
      <c r="C5" s="410" t="s">
        <v>154</v>
      </c>
      <c r="D5" s="409">
        <v>111100</v>
      </c>
      <c r="E5" s="413">
        <v>67</v>
      </c>
      <c r="F5" s="409">
        <v>88880</v>
      </c>
    </row>
    <row r="6" spans="1:6" s="407" customFormat="1" ht="99.95" customHeight="1">
      <c r="A6" s="481"/>
      <c r="B6" s="410" t="s">
        <v>155</v>
      </c>
      <c r="C6" s="410" t="s">
        <v>156</v>
      </c>
      <c r="D6" s="409">
        <v>203182.9</v>
      </c>
      <c r="E6" s="413">
        <v>74</v>
      </c>
      <c r="F6" s="409">
        <v>162546.32</v>
      </c>
    </row>
    <row r="7" spans="1:6" s="404" customFormat="1" ht="99.95" customHeight="1">
      <c r="A7" s="481"/>
      <c r="B7" s="410" t="s">
        <v>158</v>
      </c>
      <c r="C7" s="410" t="s">
        <v>159</v>
      </c>
      <c r="D7" s="409">
        <v>1626725.84</v>
      </c>
      <c r="E7" s="413">
        <v>66.7</v>
      </c>
      <c r="F7" s="409">
        <v>522319.45</v>
      </c>
    </row>
    <row r="8" spans="1:6" ht="99.95" customHeight="1">
      <c r="A8" s="422" t="s">
        <v>201</v>
      </c>
      <c r="B8" s="410" t="s">
        <v>163</v>
      </c>
      <c r="C8" s="410" t="s">
        <v>162</v>
      </c>
      <c r="D8" s="409">
        <v>120425</v>
      </c>
      <c r="E8" s="413">
        <v>66.599999999999994</v>
      </c>
      <c r="F8" s="409">
        <v>96340</v>
      </c>
    </row>
    <row r="9" spans="1:6" ht="99.95" customHeight="1">
      <c r="A9" s="422" t="s">
        <v>202</v>
      </c>
      <c r="B9" s="410" t="s">
        <v>166</v>
      </c>
      <c r="C9" s="410" t="s">
        <v>167</v>
      </c>
      <c r="D9" s="409">
        <v>147169.96</v>
      </c>
      <c r="E9" s="413">
        <v>74</v>
      </c>
      <c r="F9" s="409">
        <v>73584.98</v>
      </c>
    </row>
    <row r="10" spans="1:6" ht="99.95" customHeight="1">
      <c r="A10" s="481" t="s">
        <v>203</v>
      </c>
      <c r="B10" s="412" t="s">
        <v>168</v>
      </c>
      <c r="C10" s="410" t="s">
        <v>169</v>
      </c>
      <c r="D10" s="409">
        <v>180178.53</v>
      </c>
      <c r="E10" s="413">
        <v>63.3</v>
      </c>
      <c r="F10" s="409">
        <v>153151.75049999999</v>
      </c>
    </row>
    <row r="11" spans="1:6" ht="99.95" customHeight="1">
      <c r="A11" s="481"/>
      <c r="B11" s="412" t="s">
        <v>173</v>
      </c>
      <c r="C11" s="410" t="s">
        <v>174</v>
      </c>
      <c r="D11" s="409">
        <v>82231.09</v>
      </c>
      <c r="E11" s="413">
        <v>61.9</v>
      </c>
      <c r="F11" s="409">
        <v>69896.426500000001</v>
      </c>
    </row>
    <row r="12" spans="1:6" ht="99.95" customHeight="1">
      <c r="A12" s="411" t="s">
        <v>204</v>
      </c>
      <c r="B12" s="410" t="s">
        <v>177</v>
      </c>
      <c r="C12" s="423" t="s">
        <v>178</v>
      </c>
      <c r="D12" s="409">
        <v>52556.35</v>
      </c>
      <c r="E12" s="413">
        <v>52</v>
      </c>
      <c r="F12" s="409">
        <v>26278.174999999999</v>
      </c>
    </row>
    <row r="13" spans="1:6" ht="99.95" customHeight="1">
      <c r="A13" s="422" t="s">
        <v>114</v>
      </c>
      <c r="B13" s="410" t="s">
        <v>133</v>
      </c>
      <c r="C13" s="423" t="s">
        <v>179</v>
      </c>
      <c r="D13" s="409">
        <v>242000</v>
      </c>
      <c r="E13" s="413">
        <v>51.3</v>
      </c>
      <c r="F13" s="409">
        <v>193600</v>
      </c>
    </row>
    <row r="14" spans="1:6" ht="84.95" customHeight="1">
      <c r="A14" s="476" t="s">
        <v>205</v>
      </c>
      <c r="B14" s="410" t="s">
        <v>182</v>
      </c>
      <c r="C14" s="423" t="s">
        <v>183</v>
      </c>
      <c r="D14" s="409">
        <v>86025.05</v>
      </c>
      <c r="E14" s="413">
        <v>52.9</v>
      </c>
      <c r="F14" s="409">
        <v>43012.525000000001</v>
      </c>
    </row>
    <row r="15" spans="1:6" ht="84.95" customHeight="1">
      <c r="A15" s="477"/>
      <c r="B15" s="410" t="s">
        <v>186</v>
      </c>
      <c r="C15" s="423" t="s">
        <v>187</v>
      </c>
      <c r="D15" s="409">
        <v>83500</v>
      </c>
      <c r="E15" s="413">
        <v>50.8</v>
      </c>
      <c r="F15" s="409">
        <v>41750</v>
      </c>
    </row>
    <row r="16" spans="1:6" ht="84.95" customHeight="1">
      <c r="A16" s="424" t="s">
        <v>206</v>
      </c>
      <c r="B16" s="423" t="s">
        <v>192</v>
      </c>
      <c r="C16" s="423" t="s">
        <v>193</v>
      </c>
      <c r="D16" s="409">
        <v>72413.66</v>
      </c>
      <c r="E16" s="413">
        <v>52.7</v>
      </c>
      <c r="F16" s="409">
        <v>36206.83</v>
      </c>
    </row>
    <row r="17" spans="1:6" ht="84.95" customHeight="1">
      <c r="A17" s="481" t="s">
        <v>24</v>
      </c>
      <c r="B17" s="410" t="s">
        <v>198</v>
      </c>
      <c r="C17" s="423" t="s">
        <v>199</v>
      </c>
      <c r="D17" s="409">
        <v>102106.26</v>
      </c>
      <c r="E17" s="413">
        <v>59.1</v>
      </c>
      <c r="F17" s="409">
        <v>81685.008000000002</v>
      </c>
    </row>
    <row r="18" spans="1:6" ht="84.95" customHeight="1">
      <c r="A18" s="481"/>
      <c r="B18" s="410" t="s">
        <v>135</v>
      </c>
      <c r="C18" s="423" t="s">
        <v>200</v>
      </c>
      <c r="D18" s="409">
        <v>140348.68</v>
      </c>
      <c r="E18" s="413">
        <v>90</v>
      </c>
      <c r="F18" s="409">
        <v>76792.52</v>
      </c>
    </row>
    <row r="19" spans="1:6" ht="84.95" customHeight="1">
      <c r="A19" s="486" t="s">
        <v>63</v>
      </c>
      <c r="B19" s="486"/>
      <c r="C19" s="486"/>
      <c r="D19" s="425">
        <f>SUM(D5:D18)</f>
        <v>3249963.32</v>
      </c>
      <c r="E19" s="426"/>
      <c r="F19" s="425">
        <v>1666044</v>
      </c>
    </row>
  </sheetData>
  <mergeCells count="8">
    <mergeCell ref="A1:F1"/>
    <mergeCell ref="A3:F3"/>
    <mergeCell ref="C2:F2"/>
    <mergeCell ref="A17:A18"/>
    <mergeCell ref="A19:C19"/>
    <mergeCell ref="A5:A7"/>
    <mergeCell ref="A10:A11"/>
    <mergeCell ref="A14:A15"/>
  </mergeCells>
  <printOptions horizontalCentered="1" verticalCentered="1"/>
  <pageMargins left="3.937007874015748E-2" right="3.937007874015748E-2" top="0.15748031496062992" bottom="0.15748031496062992" header="0.31496062992125984" footer="0.31496062992125984"/>
  <pageSetup paperSize="9" scale="44" fitToHeight="2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24"/>
  <sheetViews>
    <sheetView view="pageBreakPreview" zoomScale="60" zoomScaleNormal="55" workbookViewId="0">
      <selection activeCell="F28" sqref="F28"/>
    </sheetView>
  </sheetViews>
  <sheetFormatPr baseColWidth="10" defaultRowHeight="15"/>
  <cols>
    <col min="1" max="1" width="3.7109375" customWidth="1"/>
    <col min="2" max="2" width="22.42578125" style="4" customWidth="1"/>
    <col min="3" max="3" width="15.42578125" style="65" customWidth="1"/>
    <col min="4" max="4" width="7" style="4" customWidth="1"/>
    <col min="5" max="5" width="46.7109375" style="1" customWidth="1"/>
    <col min="6" max="6" width="22.140625" style="11" customWidth="1"/>
    <col min="7" max="7" width="18.5703125" style="1" bestFit="1" customWidth="1"/>
    <col min="8" max="9" width="20.5703125" style="1" customWidth="1"/>
    <col min="10" max="10" width="22.140625" style="1" customWidth="1"/>
    <col min="11" max="11" width="20.5703125" style="1" customWidth="1"/>
    <col min="12" max="14" width="20.5703125" style="65" hidden="1" customWidth="1"/>
    <col min="15" max="17" width="20.5703125" style="65" customWidth="1"/>
    <col min="18" max="18" width="17.28515625" style="1" customWidth="1"/>
    <col min="19" max="19" width="18.7109375" style="1" bestFit="1" customWidth="1"/>
    <col min="20" max="16384" width="11.42578125" style="1"/>
  </cols>
  <sheetData>
    <row r="1" spans="2:19" ht="15.75" thickBot="1">
      <c r="O1" s="440"/>
      <c r="P1" s="440"/>
      <c r="Q1" s="269"/>
    </row>
    <row r="2" spans="2:19" ht="35.25" customHeight="1" thickBot="1">
      <c r="B2" s="271" t="s">
        <v>101</v>
      </c>
      <c r="O2" s="453" t="s">
        <v>86</v>
      </c>
      <c r="P2" s="454"/>
      <c r="Q2" s="455"/>
    </row>
    <row r="3" spans="2:19" ht="71.25" customHeight="1" thickBot="1">
      <c r="B3" s="204" t="s">
        <v>48</v>
      </c>
      <c r="C3" s="121" t="s">
        <v>87</v>
      </c>
      <c r="D3" s="27" t="s">
        <v>49</v>
      </c>
      <c r="E3" s="26" t="s">
        <v>5</v>
      </c>
      <c r="F3" s="25" t="s">
        <v>25</v>
      </c>
      <c r="G3" s="25" t="s">
        <v>67</v>
      </c>
      <c r="H3" s="25" t="s">
        <v>27</v>
      </c>
      <c r="I3" s="25" t="s">
        <v>79</v>
      </c>
      <c r="J3" s="25" t="s">
        <v>81</v>
      </c>
      <c r="K3" s="52" t="s">
        <v>30</v>
      </c>
      <c r="L3" s="121" t="s">
        <v>104</v>
      </c>
      <c r="M3" s="121" t="s">
        <v>105</v>
      </c>
      <c r="N3" s="270" t="s">
        <v>71</v>
      </c>
      <c r="O3" s="326" t="s">
        <v>108</v>
      </c>
      <c r="P3" s="142" t="s">
        <v>107</v>
      </c>
      <c r="Q3" s="143" t="s">
        <v>84</v>
      </c>
      <c r="R3" s="52" t="s">
        <v>100</v>
      </c>
      <c r="S3" s="52" t="s">
        <v>106</v>
      </c>
    </row>
    <row r="4" spans="2:19" ht="34.5" customHeight="1">
      <c r="B4" s="447" t="s">
        <v>19</v>
      </c>
      <c r="C4" s="449">
        <v>816040</v>
      </c>
      <c r="D4" s="21">
        <v>1</v>
      </c>
      <c r="E4" s="32" t="s">
        <v>35</v>
      </c>
      <c r="F4" s="14" t="s">
        <v>31</v>
      </c>
      <c r="G4" s="15">
        <v>57040</v>
      </c>
      <c r="H4" s="15">
        <v>57040</v>
      </c>
      <c r="I4" s="15">
        <f>H4*1.21</f>
        <v>69018.399999999994</v>
      </c>
      <c r="J4" s="168">
        <f>I4*0.6</f>
        <v>41411.039999999994</v>
      </c>
      <c r="K4" s="53">
        <v>50.9</v>
      </c>
      <c r="L4" s="432">
        <f>M4-C4</f>
        <v>204010</v>
      </c>
      <c r="M4" s="432">
        <f>C4*100/80</f>
        <v>1020050</v>
      </c>
      <c r="N4" s="434">
        <f>SUM(J4:J8)</f>
        <v>314747.01257999998</v>
      </c>
      <c r="O4" s="180"/>
      <c r="P4" s="181"/>
      <c r="Q4" s="182"/>
      <c r="R4" s="304"/>
      <c r="S4" s="304"/>
    </row>
    <row r="5" spans="2:19" ht="34.5" customHeight="1">
      <c r="B5" s="451"/>
      <c r="C5" s="452"/>
      <c r="D5" s="22">
        <v>2</v>
      </c>
      <c r="E5" s="33" t="s">
        <v>34</v>
      </c>
      <c r="F5" s="10" t="s">
        <v>32</v>
      </c>
      <c r="G5" s="9">
        <v>57040</v>
      </c>
      <c r="H5" s="9">
        <v>57040</v>
      </c>
      <c r="I5" s="9">
        <f t="shared" ref="I5:I17" si="0">H5*1.21</f>
        <v>69018.399999999994</v>
      </c>
      <c r="J5" s="169">
        <f t="shared" ref="J5:J15" si="1">I5*0.6</f>
        <v>41411.039999999994</v>
      </c>
      <c r="K5" s="54">
        <v>49.8</v>
      </c>
      <c r="L5" s="438"/>
      <c r="M5" s="438"/>
      <c r="N5" s="439"/>
      <c r="O5" s="183"/>
      <c r="P5" s="184"/>
      <c r="Q5" s="185"/>
      <c r="R5" s="305"/>
      <c r="S5" s="305"/>
    </row>
    <row r="6" spans="2:19" ht="47.25" customHeight="1">
      <c r="B6" s="451"/>
      <c r="C6" s="452"/>
      <c r="D6" s="22">
        <v>3</v>
      </c>
      <c r="E6" s="33" t="s">
        <v>36</v>
      </c>
      <c r="F6" s="10" t="s">
        <v>33</v>
      </c>
      <c r="G6" s="9">
        <v>84158.12</v>
      </c>
      <c r="H6" s="9">
        <v>84158.12</v>
      </c>
      <c r="I6" s="9">
        <f t="shared" si="0"/>
        <v>101831.32519999999</v>
      </c>
      <c r="J6" s="169">
        <f t="shared" si="1"/>
        <v>61098.795119999995</v>
      </c>
      <c r="K6" s="54">
        <v>35.1</v>
      </c>
      <c r="L6" s="438"/>
      <c r="M6" s="438"/>
      <c r="N6" s="439"/>
      <c r="O6" s="183"/>
      <c r="P6" s="184"/>
      <c r="Q6" s="185"/>
      <c r="R6" s="305"/>
      <c r="S6" s="305"/>
    </row>
    <row r="7" spans="2:19" ht="48.75" customHeight="1">
      <c r="B7" s="451"/>
      <c r="C7" s="452"/>
      <c r="D7" s="274">
        <v>4</v>
      </c>
      <c r="E7" s="275" t="s">
        <v>1</v>
      </c>
      <c r="F7" s="276" t="s">
        <v>43</v>
      </c>
      <c r="G7" s="277">
        <v>199545.68</v>
      </c>
      <c r="H7" s="277">
        <v>199545.68</v>
      </c>
      <c r="I7" s="277">
        <f t="shared" si="0"/>
        <v>241450.27279999998</v>
      </c>
      <c r="J7" s="278">
        <f t="shared" si="1"/>
        <v>144870.16367999997</v>
      </c>
      <c r="K7" s="279">
        <v>51.6</v>
      </c>
      <c r="L7" s="438"/>
      <c r="M7" s="438"/>
      <c r="N7" s="439"/>
      <c r="O7" s="186"/>
      <c r="P7" s="187"/>
      <c r="Q7" s="188"/>
      <c r="R7" s="313"/>
      <c r="S7" s="335"/>
    </row>
    <row r="8" spans="2:19" ht="77.25" customHeight="1" thickBot="1">
      <c r="B8" s="448"/>
      <c r="C8" s="450"/>
      <c r="D8" s="221">
        <v>5</v>
      </c>
      <c r="E8" s="222" t="s">
        <v>6</v>
      </c>
      <c r="F8" s="223" t="s">
        <v>42</v>
      </c>
      <c r="G8" s="272">
        <v>93305.79</v>
      </c>
      <c r="H8" s="272">
        <v>35752.03</v>
      </c>
      <c r="I8" s="272">
        <f t="shared" si="0"/>
        <v>43259.956299999998</v>
      </c>
      <c r="J8" s="224">
        <f t="shared" si="1"/>
        <v>25955.973779999997</v>
      </c>
      <c r="K8" s="273">
        <v>68</v>
      </c>
      <c r="L8" s="433"/>
      <c r="M8" s="433"/>
      <c r="N8" s="435"/>
      <c r="O8" s="214">
        <f>J8*0.8</f>
        <v>20764.779023999999</v>
      </c>
      <c r="P8" s="215">
        <f>J8*0.2</f>
        <v>5191.1947559999999</v>
      </c>
      <c r="Q8" s="216">
        <f>O8+P8</f>
        <v>25955.97378</v>
      </c>
      <c r="R8" s="310">
        <f>Q8/I8</f>
        <v>0.60000000000000009</v>
      </c>
      <c r="S8" s="309">
        <f t="shared" ref="S8:S16" si="2">Q8/J8</f>
        <v>1.0000000000000002</v>
      </c>
    </row>
    <row r="9" spans="2:19" ht="34.5" customHeight="1" thickBot="1">
      <c r="B9" s="205" t="s">
        <v>20</v>
      </c>
      <c r="C9" s="231">
        <v>440510</v>
      </c>
      <c r="D9" s="217">
        <v>6</v>
      </c>
      <c r="E9" s="218" t="s">
        <v>7</v>
      </c>
      <c r="F9" s="219" t="s">
        <v>94</v>
      </c>
      <c r="G9" s="220">
        <v>106591.21</v>
      </c>
      <c r="H9" s="220">
        <v>106591.21</v>
      </c>
      <c r="I9" s="220">
        <f t="shared" si="0"/>
        <v>128975.36410000001</v>
      </c>
      <c r="J9" s="220">
        <f t="shared" si="1"/>
        <v>77385.218460000004</v>
      </c>
      <c r="K9" s="228">
        <v>33.299999999999997</v>
      </c>
      <c r="L9" s="75">
        <f>M9-C9</f>
        <v>110127.5</v>
      </c>
      <c r="M9" s="75">
        <f t="shared" ref="M9:M20" si="3">C9*100/80</f>
        <v>550637.5</v>
      </c>
      <c r="N9" s="123">
        <f>J9</f>
        <v>77385.218460000004</v>
      </c>
      <c r="O9" s="289">
        <f>J9*0.8</f>
        <v>61908.174768000004</v>
      </c>
      <c r="P9" s="290">
        <f>J9*0.2</f>
        <v>15477.043692000001</v>
      </c>
      <c r="Q9" s="291">
        <f>O9+P9</f>
        <v>77385.218460000004</v>
      </c>
      <c r="R9" s="311">
        <f>Q9/I9</f>
        <v>0.6</v>
      </c>
      <c r="S9" s="311">
        <f t="shared" si="2"/>
        <v>1</v>
      </c>
    </row>
    <row r="10" spans="2:19" ht="34.5" customHeight="1">
      <c r="B10" s="447" t="s">
        <v>21</v>
      </c>
      <c r="C10" s="449">
        <v>65000</v>
      </c>
      <c r="D10" s="21">
        <v>7</v>
      </c>
      <c r="E10" s="32" t="s">
        <v>8</v>
      </c>
      <c r="F10" s="12" t="s">
        <v>40</v>
      </c>
      <c r="G10" s="15">
        <v>1458385.9</v>
      </c>
      <c r="H10" s="15">
        <v>147104.44</v>
      </c>
      <c r="I10" s="15">
        <f t="shared" si="0"/>
        <v>177996.37239999999</v>
      </c>
      <c r="J10" s="15">
        <f t="shared" si="1"/>
        <v>106797.82343999999</v>
      </c>
      <c r="K10" s="57">
        <v>52.6</v>
      </c>
      <c r="L10" s="432">
        <f>M10-C10</f>
        <v>16250</v>
      </c>
      <c r="M10" s="432">
        <f t="shared" si="3"/>
        <v>81250</v>
      </c>
      <c r="N10" s="434">
        <f>SUM(J10:J11)</f>
        <v>1126847.8234399999</v>
      </c>
      <c r="O10" s="201"/>
      <c r="P10" s="202"/>
      <c r="Q10" s="188"/>
      <c r="R10" s="57"/>
      <c r="S10" s="333"/>
    </row>
    <row r="11" spans="2:19" ht="34.5" customHeight="1" thickBot="1">
      <c r="B11" s="448"/>
      <c r="C11" s="450"/>
      <c r="D11" s="221">
        <v>8</v>
      </c>
      <c r="E11" s="222" t="s">
        <v>9</v>
      </c>
      <c r="F11" s="223" t="s">
        <v>39</v>
      </c>
      <c r="G11" s="224">
        <v>2976464.92</v>
      </c>
      <c r="H11" s="224">
        <v>2976464.92</v>
      </c>
      <c r="I11" s="224">
        <f t="shared" si="0"/>
        <v>3601522.5532</v>
      </c>
      <c r="J11" s="224">
        <v>1020050</v>
      </c>
      <c r="K11" s="227">
        <v>85.1</v>
      </c>
      <c r="L11" s="433">
        <f t="shared" ref="L11:L17" si="4">K11*100/80</f>
        <v>106.375</v>
      </c>
      <c r="M11" s="433">
        <f t="shared" si="3"/>
        <v>0</v>
      </c>
      <c r="N11" s="435"/>
      <c r="O11" s="225">
        <v>65000</v>
      </c>
      <c r="P11" s="226">
        <f>O11*20/80</f>
        <v>16250</v>
      </c>
      <c r="Q11" s="216">
        <f>O11+P11</f>
        <v>81250</v>
      </c>
      <c r="R11" s="309">
        <f>Q11/I11</f>
        <v>2.2559903152017835E-2</v>
      </c>
      <c r="S11" s="309">
        <f>Q11/J11</f>
        <v>7.9652958188324102E-2</v>
      </c>
    </row>
    <row r="12" spans="2:19" ht="49.5" customHeight="1">
      <c r="B12" s="447" t="s">
        <v>22</v>
      </c>
      <c r="C12" s="449">
        <v>104346</v>
      </c>
      <c r="D12" s="236">
        <v>9</v>
      </c>
      <c r="E12" s="237" t="s">
        <v>10</v>
      </c>
      <c r="F12" s="238" t="s">
        <v>38</v>
      </c>
      <c r="G12" s="239">
        <v>1049897.1299999999</v>
      </c>
      <c r="H12" s="239">
        <v>1049897.1299999999</v>
      </c>
      <c r="I12" s="239">
        <f t="shared" si="0"/>
        <v>1270375.5272999997</v>
      </c>
      <c r="J12" s="239">
        <f t="shared" si="1"/>
        <v>762225.31637999986</v>
      </c>
      <c r="K12" s="235">
        <v>80.5</v>
      </c>
      <c r="L12" s="432">
        <f>M12-C12</f>
        <v>26086.5</v>
      </c>
      <c r="M12" s="432">
        <f t="shared" si="3"/>
        <v>130432.5</v>
      </c>
      <c r="N12" s="434">
        <f>SUM(J12:J15)</f>
        <v>1026059.1105599998</v>
      </c>
      <c r="O12" s="232">
        <f>C12</f>
        <v>104346</v>
      </c>
      <c r="P12" s="233">
        <f>O12*20/80</f>
        <v>26086.5</v>
      </c>
      <c r="Q12" s="234">
        <f>O12+P12</f>
        <v>130432.5</v>
      </c>
      <c r="R12" s="308">
        <f>Q12/I12</f>
        <v>0.10267239662370976</v>
      </c>
      <c r="S12" s="308">
        <f>Q12/J12</f>
        <v>0.17112066103951626</v>
      </c>
    </row>
    <row r="13" spans="2:19" ht="34.5" customHeight="1">
      <c r="B13" s="451"/>
      <c r="C13" s="452"/>
      <c r="D13" s="22">
        <v>10</v>
      </c>
      <c r="E13" s="33" t="s">
        <v>55</v>
      </c>
      <c r="F13" s="10" t="s">
        <v>37</v>
      </c>
      <c r="G13" s="9">
        <v>79638.350000000006</v>
      </c>
      <c r="H13" s="9">
        <v>79638.350000000006</v>
      </c>
      <c r="I13" s="9">
        <f t="shared" si="0"/>
        <v>96362.4035</v>
      </c>
      <c r="J13" s="9">
        <f t="shared" si="1"/>
        <v>57817.4421</v>
      </c>
      <c r="K13" s="54">
        <v>35.4</v>
      </c>
      <c r="L13" s="438">
        <f t="shared" si="4"/>
        <v>44.25</v>
      </c>
      <c r="M13" s="438">
        <f t="shared" si="3"/>
        <v>0</v>
      </c>
      <c r="N13" s="439"/>
      <c r="O13" s="193"/>
      <c r="P13" s="194"/>
      <c r="Q13" s="195"/>
      <c r="R13" s="306"/>
      <c r="S13" s="332"/>
    </row>
    <row r="14" spans="2:19" ht="45.75" customHeight="1">
      <c r="B14" s="451"/>
      <c r="C14" s="452"/>
      <c r="D14" s="22">
        <v>11</v>
      </c>
      <c r="E14" s="33" t="s">
        <v>54</v>
      </c>
      <c r="F14" s="10" t="s">
        <v>44</v>
      </c>
      <c r="G14" s="9">
        <v>119804.82</v>
      </c>
      <c r="H14" s="9">
        <v>119804.82</v>
      </c>
      <c r="I14" s="9">
        <f t="shared" si="0"/>
        <v>144963.8322</v>
      </c>
      <c r="J14" s="9">
        <f t="shared" si="1"/>
        <v>86978.299320000006</v>
      </c>
      <c r="K14" s="54">
        <v>39.700000000000003</v>
      </c>
      <c r="L14" s="438">
        <f t="shared" si="4"/>
        <v>49.625000000000007</v>
      </c>
      <c r="M14" s="438">
        <f t="shared" si="3"/>
        <v>0</v>
      </c>
      <c r="N14" s="439"/>
      <c r="O14" s="196"/>
      <c r="P14" s="197"/>
      <c r="Q14" s="185"/>
      <c r="R14" s="305"/>
      <c r="S14" s="335"/>
    </row>
    <row r="15" spans="2:19" ht="51.75" customHeight="1" thickBot="1">
      <c r="B15" s="448"/>
      <c r="C15" s="450"/>
      <c r="D15" s="315">
        <v>12</v>
      </c>
      <c r="E15" s="316" t="s">
        <v>12</v>
      </c>
      <c r="F15" s="317" t="s">
        <v>45</v>
      </c>
      <c r="G15" s="318">
        <v>163964.26</v>
      </c>
      <c r="H15" s="318">
        <v>163964.26</v>
      </c>
      <c r="I15" s="318">
        <f t="shared" si="0"/>
        <v>198396.75460000001</v>
      </c>
      <c r="J15" s="318">
        <f t="shared" si="1"/>
        <v>119038.05276000001</v>
      </c>
      <c r="K15" s="319">
        <v>77</v>
      </c>
      <c r="L15" s="433">
        <f t="shared" si="4"/>
        <v>96.25</v>
      </c>
      <c r="M15" s="433">
        <f t="shared" si="3"/>
        <v>0</v>
      </c>
      <c r="N15" s="435"/>
      <c r="O15" s="198"/>
      <c r="P15" s="199"/>
      <c r="Q15" s="200"/>
      <c r="R15" s="314"/>
      <c r="S15" s="314"/>
    </row>
    <row r="16" spans="2:19" ht="34.5" customHeight="1">
      <c r="B16" s="447" t="s">
        <v>24</v>
      </c>
      <c r="C16" s="449">
        <v>371264</v>
      </c>
      <c r="D16" s="236">
        <v>14</v>
      </c>
      <c r="E16" s="237" t="s">
        <v>13</v>
      </c>
      <c r="F16" s="238" t="s">
        <v>47</v>
      </c>
      <c r="G16" s="239">
        <v>53719</v>
      </c>
      <c r="H16" s="239">
        <v>53719</v>
      </c>
      <c r="I16" s="239">
        <f t="shared" si="0"/>
        <v>64999.99</v>
      </c>
      <c r="J16" s="239">
        <f>I16*0.6</f>
        <v>38999.993999999999</v>
      </c>
      <c r="K16" s="240">
        <v>35.5</v>
      </c>
      <c r="L16" s="432">
        <f>M16-C16</f>
        <v>92816</v>
      </c>
      <c r="M16" s="432">
        <f t="shared" si="3"/>
        <v>464080</v>
      </c>
      <c r="N16" s="434">
        <f>J16+J17</f>
        <v>98999.994000000006</v>
      </c>
      <c r="O16" s="232">
        <f>J16*0.8</f>
        <v>31199.995200000001</v>
      </c>
      <c r="P16" s="233">
        <f>J16*0.2</f>
        <v>7799.9988000000003</v>
      </c>
      <c r="Q16" s="234">
        <f>O16+P16</f>
        <v>38999.993999999999</v>
      </c>
      <c r="R16" s="308">
        <f>Q16/I16</f>
        <v>0.6</v>
      </c>
      <c r="S16" s="308">
        <f t="shared" si="2"/>
        <v>1</v>
      </c>
    </row>
    <row r="17" spans="2:19" ht="34.5" customHeight="1" thickBot="1">
      <c r="B17" s="448"/>
      <c r="C17" s="450"/>
      <c r="D17" s="23">
        <v>15</v>
      </c>
      <c r="E17" s="29" t="s">
        <v>14</v>
      </c>
      <c r="F17" s="30" t="s">
        <v>47</v>
      </c>
      <c r="G17" s="31">
        <v>407437.24</v>
      </c>
      <c r="H17" s="31">
        <v>272726.55</v>
      </c>
      <c r="I17" s="31">
        <f t="shared" si="0"/>
        <v>329999.12549999997</v>
      </c>
      <c r="J17" s="31">
        <v>60000</v>
      </c>
      <c r="K17" s="63">
        <v>34.6</v>
      </c>
      <c r="L17" s="433">
        <f t="shared" si="4"/>
        <v>43.25</v>
      </c>
      <c r="M17" s="433">
        <f t="shared" si="3"/>
        <v>0</v>
      </c>
      <c r="N17" s="435"/>
      <c r="O17" s="178"/>
      <c r="P17" s="179"/>
      <c r="Q17" s="177"/>
      <c r="R17" s="312"/>
      <c r="S17" s="312"/>
    </row>
    <row r="18" spans="2:19" ht="48" customHeight="1" thickBot="1">
      <c r="B18" s="205" t="s">
        <v>23</v>
      </c>
      <c r="C18" s="231">
        <v>492445</v>
      </c>
      <c r="D18" s="24">
        <v>13</v>
      </c>
      <c r="E18" s="35" t="s">
        <v>0</v>
      </c>
      <c r="F18" s="18" t="s">
        <v>46</v>
      </c>
      <c r="G18" s="19">
        <v>157680.5</v>
      </c>
      <c r="H18" s="19">
        <v>157680.5</v>
      </c>
      <c r="I18" s="19">
        <f>H18*1.21</f>
        <v>190793.405</v>
      </c>
      <c r="J18" s="19">
        <f>I18*0.6</f>
        <v>114476.04299999999</v>
      </c>
      <c r="K18" s="280" t="s">
        <v>77</v>
      </c>
      <c r="L18" s="267">
        <f>M18-C18</f>
        <v>123111.25</v>
      </c>
      <c r="M18" s="267">
        <f t="shared" si="3"/>
        <v>615556.25</v>
      </c>
      <c r="N18" s="268">
        <f>J18</f>
        <v>114476.04299999999</v>
      </c>
      <c r="O18" s="444" t="s">
        <v>95</v>
      </c>
      <c r="P18" s="445"/>
      <c r="Q18" s="446"/>
      <c r="R18" s="192" t="s">
        <v>77</v>
      </c>
      <c r="S18" s="192" t="s">
        <v>77</v>
      </c>
    </row>
    <row r="19" spans="2:19" ht="30" customHeight="1" thickBot="1">
      <c r="C19" s="119"/>
      <c r="F19" s="120"/>
      <c r="G19" s="119"/>
      <c r="H19" s="119"/>
      <c r="I19" s="119"/>
      <c r="J19" s="119"/>
      <c r="K19" s="293" t="s">
        <v>63</v>
      </c>
      <c r="L19" s="294">
        <f>SUM(L4:L17)</f>
        <v>449629.75</v>
      </c>
      <c r="M19" s="294">
        <f t="shared" si="3"/>
        <v>0</v>
      </c>
      <c r="N19" s="294">
        <f>SUM(N4:N17)</f>
        <v>2644039.1590399998</v>
      </c>
      <c r="O19" s="294">
        <f>SUM(O4:O17)</f>
        <v>283218.94899200002</v>
      </c>
      <c r="P19" s="294">
        <f t="shared" ref="P19:Q19" si="5">SUM(P4:P17)</f>
        <v>70804.737248000005</v>
      </c>
      <c r="Q19" s="295">
        <f t="shared" si="5"/>
        <v>354023.68624000001</v>
      </c>
    </row>
    <row r="20" spans="2:19" ht="30.75" customHeight="1" thickBot="1">
      <c r="K20" s="285" t="s">
        <v>97</v>
      </c>
      <c r="L20" s="286">
        <f>SUM(L5:L18)</f>
        <v>368731</v>
      </c>
      <c r="M20" s="286">
        <f t="shared" si="3"/>
        <v>0</v>
      </c>
      <c r="N20" s="286">
        <f>SUM(N5:N18)</f>
        <v>2443768.18946</v>
      </c>
      <c r="O20" s="287">
        <f>O19/Q19</f>
        <v>0.8</v>
      </c>
      <c r="P20" s="287">
        <f>P19/Q19</f>
        <v>0.2</v>
      </c>
      <c r="Q20" s="288">
        <f>O20+P20</f>
        <v>1</v>
      </c>
    </row>
    <row r="21" spans="2:19" ht="10.5" customHeight="1" thickBot="1">
      <c r="O21" s="170"/>
      <c r="P21" s="170"/>
      <c r="Q21" s="170"/>
    </row>
    <row r="22" spans="2:19" ht="23.25" customHeight="1" thickBot="1">
      <c r="K22" s="204" t="s">
        <v>98</v>
      </c>
      <c r="L22" s="281"/>
      <c r="M22" s="281"/>
      <c r="N22" s="281" t="s">
        <v>78</v>
      </c>
      <c r="O22" s="301">
        <v>816040</v>
      </c>
      <c r="P22" s="302">
        <v>204010</v>
      </c>
      <c r="Q22" s="303">
        <f>SUM(O22:P22)</f>
        <v>1020050</v>
      </c>
    </row>
    <row r="23" spans="2:19" ht="8.25" customHeight="1" thickBot="1">
      <c r="K23" s="241"/>
      <c r="L23" s="281"/>
      <c r="M23" s="281"/>
      <c r="N23" s="281"/>
      <c r="O23" s="281"/>
      <c r="P23" s="281"/>
      <c r="Q23" s="281"/>
    </row>
    <row r="24" spans="2:19" ht="23.25" customHeight="1" thickBot="1">
      <c r="K24" s="204" t="s">
        <v>99</v>
      </c>
      <c r="L24" s="281"/>
      <c r="M24" s="281"/>
      <c r="N24" s="281" t="s">
        <v>78</v>
      </c>
      <c r="O24" s="301">
        <f>O22-O19</f>
        <v>532821.05100800004</v>
      </c>
      <c r="P24" s="302">
        <f>P22-P19</f>
        <v>133205.26275200001</v>
      </c>
      <c r="Q24" s="303">
        <f>SUM(O24:P24)</f>
        <v>666026.31376000005</v>
      </c>
    </row>
  </sheetData>
  <mergeCells count="23">
    <mergeCell ref="O1:P1"/>
    <mergeCell ref="O2:Q2"/>
    <mergeCell ref="B4:B8"/>
    <mergeCell ref="C4:C8"/>
    <mergeCell ref="L4:L8"/>
    <mergeCell ref="M4:M8"/>
    <mergeCell ref="N4:N8"/>
    <mergeCell ref="O18:Q18"/>
    <mergeCell ref="B10:B11"/>
    <mergeCell ref="C10:C11"/>
    <mergeCell ref="L10:L11"/>
    <mergeCell ref="M10:M11"/>
    <mergeCell ref="N10:N11"/>
    <mergeCell ref="B12:B15"/>
    <mergeCell ref="C12:C15"/>
    <mergeCell ref="L12:L15"/>
    <mergeCell ref="M12:M15"/>
    <mergeCell ref="N12:N15"/>
    <mergeCell ref="B16:B17"/>
    <mergeCell ref="C16:C17"/>
    <mergeCell ref="L16:L17"/>
    <mergeCell ref="M16:M17"/>
    <mergeCell ref="N16:N17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3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29"/>
  <sheetViews>
    <sheetView view="pageBreakPreview" topLeftCell="D1" zoomScale="55" zoomScaleNormal="55" zoomScaleSheetLayoutView="55" workbookViewId="0">
      <selection activeCell="I32" sqref="I32"/>
    </sheetView>
  </sheetViews>
  <sheetFormatPr baseColWidth="10" defaultRowHeight="15"/>
  <cols>
    <col min="1" max="1" width="3.7109375" customWidth="1"/>
    <col min="2" max="2" width="22.42578125" style="4" customWidth="1"/>
    <col min="3" max="3" width="17" style="65" customWidth="1"/>
    <col min="4" max="4" width="7" style="4" customWidth="1"/>
    <col min="5" max="5" width="46.7109375" style="1" customWidth="1"/>
    <col min="6" max="6" width="22.140625" style="11" customWidth="1"/>
    <col min="7" max="7" width="18.5703125" style="1" bestFit="1" customWidth="1"/>
    <col min="8" max="9" width="20.5703125" style="1" customWidth="1"/>
    <col min="10" max="10" width="25.7109375" style="1" customWidth="1"/>
    <col min="11" max="12" width="20.5703125" style="1" customWidth="1"/>
    <col min="13" max="15" width="20.5703125" style="65" hidden="1" customWidth="1"/>
    <col min="16" max="18" width="20.5703125" style="65" customWidth="1"/>
    <col min="19" max="19" width="19.28515625" style="1" hidden="1" customWidth="1"/>
    <col min="20" max="20" width="18.7109375" style="1" bestFit="1" customWidth="1"/>
    <col min="21" max="21" width="11.42578125" style="1"/>
    <col min="22" max="22" width="18.7109375" style="1" bestFit="1" customWidth="1"/>
    <col min="23" max="24" width="16.5703125" style="1" bestFit="1" customWidth="1"/>
    <col min="25" max="16384" width="11.42578125" style="1"/>
  </cols>
  <sheetData>
    <row r="1" spans="2:24" ht="15.75" thickBot="1">
      <c r="P1" s="440"/>
      <c r="Q1" s="440"/>
      <c r="R1" s="269"/>
    </row>
    <row r="2" spans="2:24" ht="35.25" customHeight="1" thickBot="1">
      <c r="B2" s="271" t="s">
        <v>117</v>
      </c>
      <c r="P2" s="453" t="s">
        <v>116</v>
      </c>
      <c r="Q2" s="454"/>
      <c r="R2" s="455"/>
    </row>
    <row r="3" spans="2:24" ht="71.25" customHeight="1" thickBot="1">
      <c r="B3" s="204" t="s">
        <v>48</v>
      </c>
      <c r="C3" s="121" t="s">
        <v>87</v>
      </c>
      <c r="D3" s="27" t="s">
        <v>49</v>
      </c>
      <c r="E3" s="26" t="s">
        <v>5</v>
      </c>
      <c r="F3" s="25" t="s">
        <v>25</v>
      </c>
      <c r="G3" s="25" t="s">
        <v>67</v>
      </c>
      <c r="H3" s="25" t="s">
        <v>27</v>
      </c>
      <c r="I3" s="25" t="s">
        <v>79</v>
      </c>
      <c r="J3" s="25" t="s">
        <v>81</v>
      </c>
      <c r="K3" s="52" t="s">
        <v>30</v>
      </c>
      <c r="L3" s="52" t="s">
        <v>109</v>
      </c>
      <c r="M3" s="121" t="s">
        <v>104</v>
      </c>
      <c r="N3" s="121" t="s">
        <v>105</v>
      </c>
      <c r="O3" s="270" t="s">
        <v>71</v>
      </c>
      <c r="P3" s="326" t="s">
        <v>108</v>
      </c>
      <c r="Q3" s="142" t="s">
        <v>107</v>
      </c>
      <c r="R3" s="143" t="s">
        <v>84</v>
      </c>
      <c r="S3" s="52" t="s">
        <v>100</v>
      </c>
      <c r="T3" s="52" t="s">
        <v>106</v>
      </c>
    </row>
    <row r="4" spans="2:24" ht="34.5" customHeight="1">
      <c r="B4" s="447" t="s">
        <v>19</v>
      </c>
      <c r="C4" s="449">
        <v>816040</v>
      </c>
      <c r="D4" s="21">
        <v>1</v>
      </c>
      <c r="E4" s="353" t="s">
        <v>35</v>
      </c>
      <c r="F4" s="14" t="s">
        <v>31</v>
      </c>
      <c r="G4" s="15">
        <v>57040</v>
      </c>
      <c r="H4" s="15">
        <v>57040</v>
      </c>
      <c r="I4" s="15">
        <f>H4*1.21</f>
        <v>69018.399999999994</v>
      </c>
      <c r="J4" s="168">
        <f>I4*0.6</f>
        <v>41411.039999999994</v>
      </c>
      <c r="K4" s="53">
        <v>50.9</v>
      </c>
      <c r="L4" s="337" t="s">
        <v>111</v>
      </c>
      <c r="M4" s="432">
        <f>N4-C4</f>
        <v>204010</v>
      </c>
      <c r="N4" s="432">
        <f>C4*100/80</f>
        <v>1020050</v>
      </c>
      <c r="O4" s="434">
        <f>SUM(J4:J8)</f>
        <v>314747.01257999998</v>
      </c>
      <c r="P4" s="180"/>
      <c r="Q4" s="181"/>
      <c r="R4" s="182"/>
      <c r="S4" s="304"/>
      <c r="T4" s="304"/>
    </row>
    <row r="5" spans="2:24" ht="34.5" customHeight="1">
      <c r="B5" s="451"/>
      <c r="C5" s="452"/>
      <c r="D5" s="22">
        <v>2</v>
      </c>
      <c r="E5" s="275" t="s">
        <v>34</v>
      </c>
      <c r="F5" s="10" t="s">
        <v>32</v>
      </c>
      <c r="G5" s="9">
        <v>57040</v>
      </c>
      <c r="H5" s="9">
        <v>57040</v>
      </c>
      <c r="I5" s="9">
        <f t="shared" ref="I5:I17" si="0">H5*1.21</f>
        <v>69018.399999999994</v>
      </c>
      <c r="J5" s="169">
        <f t="shared" ref="J5:J15" si="1">I5*0.6</f>
        <v>41411.039999999994</v>
      </c>
      <c r="K5" s="54">
        <v>49.8</v>
      </c>
      <c r="L5" s="338" t="s">
        <v>112</v>
      </c>
      <c r="M5" s="438"/>
      <c r="N5" s="438"/>
      <c r="O5" s="439"/>
      <c r="P5" s="183"/>
      <c r="Q5" s="184"/>
      <c r="R5" s="185"/>
      <c r="S5" s="305"/>
      <c r="T5" s="305"/>
    </row>
    <row r="6" spans="2:24" ht="47.25" customHeight="1">
      <c r="B6" s="451"/>
      <c r="C6" s="452"/>
      <c r="D6" s="22">
        <v>3</v>
      </c>
      <c r="E6" s="275" t="s">
        <v>36</v>
      </c>
      <c r="F6" s="10" t="s">
        <v>33</v>
      </c>
      <c r="G6" s="9">
        <v>84158.12</v>
      </c>
      <c r="H6" s="9">
        <v>84158.12</v>
      </c>
      <c r="I6" s="9">
        <f t="shared" si="0"/>
        <v>101831.32519999999</v>
      </c>
      <c r="J6" s="169">
        <f t="shared" si="1"/>
        <v>61098.795119999995</v>
      </c>
      <c r="K6" s="54">
        <v>35.1</v>
      </c>
      <c r="L6" s="338" t="s">
        <v>113</v>
      </c>
      <c r="M6" s="438"/>
      <c r="N6" s="438"/>
      <c r="O6" s="439"/>
      <c r="P6" s="183"/>
      <c r="Q6" s="184"/>
      <c r="R6" s="185"/>
      <c r="S6" s="305"/>
      <c r="T6" s="305"/>
    </row>
    <row r="7" spans="2:24" ht="48.75" customHeight="1">
      <c r="B7" s="451"/>
      <c r="C7" s="452"/>
      <c r="D7" s="274">
        <v>4</v>
      </c>
      <c r="E7" s="275" t="s">
        <v>1</v>
      </c>
      <c r="F7" s="276" t="s">
        <v>43</v>
      </c>
      <c r="G7" s="277">
        <v>199545.68</v>
      </c>
      <c r="H7" s="277">
        <v>199545.68</v>
      </c>
      <c r="I7" s="277">
        <f t="shared" si="0"/>
        <v>241450.27279999998</v>
      </c>
      <c r="J7" s="278">
        <f t="shared" si="1"/>
        <v>144870.16367999997</v>
      </c>
      <c r="K7" s="279">
        <v>51.6</v>
      </c>
      <c r="L7" s="339" t="s">
        <v>76</v>
      </c>
      <c r="M7" s="438"/>
      <c r="N7" s="438"/>
      <c r="O7" s="439"/>
      <c r="P7" s="186"/>
      <c r="Q7" s="187"/>
      <c r="R7" s="188"/>
      <c r="S7" s="313"/>
      <c r="T7" s="335"/>
    </row>
    <row r="8" spans="2:24" ht="77.25" customHeight="1" thickBot="1">
      <c r="B8" s="448"/>
      <c r="C8" s="450"/>
      <c r="D8" s="221">
        <v>5</v>
      </c>
      <c r="E8" s="222" t="s">
        <v>6</v>
      </c>
      <c r="F8" s="223" t="s">
        <v>42</v>
      </c>
      <c r="G8" s="272">
        <v>93305.79</v>
      </c>
      <c r="H8" s="272">
        <v>35752.03</v>
      </c>
      <c r="I8" s="272">
        <f t="shared" si="0"/>
        <v>43259.956299999998</v>
      </c>
      <c r="J8" s="224">
        <f t="shared" si="1"/>
        <v>25955.973779999997</v>
      </c>
      <c r="K8" s="273">
        <v>68</v>
      </c>
      <c r="L8" s="336" t="s">
        <v>110</v>
      </c>
      <c r="M8" s="433"/>
      <c r="N8" s="433"/>
      <c r="O8" s="435"/>
      <c r="P8" s="214">
        <f>J8*0.8</f>
        <v>20764.779023999999</v>
      </c>
      <c r="Q8" s="215">
        <f>J8*0.2</f>
        <v>5191.1947559999999</v>
      </c>
      <c r="R8" s="216">
        <f>P8+Q8</f>
        <v>25955.97378</v>
      </c>
      <c r="S8" s="310">
        <f>R8/I8</f>
        <v>0.60000000000000009</v>
      </c>
      <c r="T8" s="309">
        <f t="shared" ref="T8:T16" si="2">R8/J8</f>
        <v>1.0000000000000002</v>
      </c>
      <c r="V8" s="117"/>
      <c r="X8" s="117"/>
    </row>
    <row r="9" spans="2:24" ht="34.5" customHeight="1" thickBot="1">
      <c r="B9" s="205" t="s">
        <v>114</v>
      </c>
      <c r="C9" s="231">
        <v>440510</v>
      </c>
      <c r="D9" s="217">
        <v>6</v>
      </c>
      <c r="E9" s="218" t="s">
        <v>7</v>
      </c>
      <c r="F9" s="219" t="s">
        <v>94</v>
      </c>
      <c r="G9" s="220">
        <v>106591.21</v>
      </c>
      <c r="H9" s="220">
        <v>106591.21</v>
      </c>
      <c r="I9" s="220">
        <f t="shared" si="0"/>
        <v>128975.36410000001</v>
      </c>
      <c r="J9" s="220">
        <f t="shared" si="1"/>
        <v>77385.218460000004</v>
      </c>
      <c r="K9" s="228">
        <v>33.299999999999997</v>
      </c>
      <c r="L9" s="345" t="s">
        <v>110</v>
      </c>
      <c r="M9" s="75">
        <f>N9-C9</f>
        <v>110127.5</v>
      </c>
      <c r="N9" s="75">
        <f t="shared" ref="N9:N20" si="3">C9*100/80</f>
        <v>550637.5</v>
      </c>
      <c r="O9" s="123">
        <f>J9</f>
        <v>77385.218460000004</v>
      </c>
      <c r="P9" s="289">
        <f>J9*0.8</f>
        <v>61908.174768000004</v>
      </c>
      <c r="Q9" s="290">
        <f>J9*0.2</f>
        <v>15477.043692000001</v>
      </c>
      <c r="R9" s="291">
        <f>P9+Q9</f>
        <v>77385.218460000004</v>
      </c>
      <c r="S9" s="311">
        <f>R9/I9</f>
        <v>0.6</v>
      </c>
      <c r="T9" s="311">
        <f t="shared" si="2"/>
        <v>1</v>
      </c>
      <c r="V9" s="117"/>
      <c r="X9" s="117"/>
    </row>
    <row r="10" spans="2:24" ht="34.5" customHeight="1">
      <c r="B10" s="447" t="s">
        <v>21</v>
      </c>
      <c r="C10" s="449">
        <v>65000</v>
      </c>
      <c r="D10" s="21">
        <v>7</v>
      </c>
      <c r="E10" s="353" t="s">
        <v>8</v>
      </c>
      <c r="F10" s="12" t="s">
        <v>40</v>
      </c>
      <c r="G10" s="15">
        <v>1458385.9</v>
      </c>
      <c r="H10" s="15">
        <v>147104.44</v>
      </c>
      <c r="I10" s="15">
        <f t="shared" si="0"/>
        <v>177996.37239999999</v>
      </c>
      <c r="J10" s="15">
        <f t="shared" si="1"/>
        <v>106797.82343999999</v>
      </c>
      <c r="K10" s="57">
        <v>52.6</v>
      </c>
      <c r="L10" s="340" t="s">
        <v>76</v>
      </c>
      <c r="M10" s="432">
        <f>N10-C10</f>
        <v>16250</v>
      </c>
      <c r="N10" s="432">
        <f t="shared" si="3"/>
        <v>81250</v>
      </c>
      <c r="O10" s="434">
        <f>SUM(J10:J11)</f>
        <v>1126847.8234399999</v>
      </c>
      <c r="P10" s="201"/>
      <c r="Q10" s="202"/>
      <c r="R10" s="188"/>
      <c r="S10" s="57"/>
      <c r="T10" s="333"/>
      <c r="V10" s="117"/>
      <c r="X10" s="117"/>
    </row>
    <row r="11" spans="2:24" ht="34.5" customHeight="1" thickBot="1">
      <c r="B11" s="448"/>
      <c r="C11" s="450"/>
      <c r="D11" s="221">
        <v>8</v>
      </c>
      <c r="E11" s="222" t="s">
        <v>9</v>
      </c>
      <c r="F11" s="223" t="s">
        <v>39</v>
      </c>
      <c r="G11" s="224">
        <v>2976464.92</v>
      </c>
      <c r="H11" s="224">
        <v>2976464.92</v>
      </c>
      <c r="I11" s="224">
        <f t="shared" si="0"/>
        <v>3601522.5532</v>
      </c>
      <c r="J11" s="224">
        <v>1020050</v>
      </c>
      <c r="K11" s="227">
        <v>85.1</v>
      </c>
      <c r="L11" s="344" t="s">
        <v>110</v>
      </c>
      <c r="M11" s="433" t="e">
        <f t="shared" ref="M11:M17" si="4">L11*100/80</f>
        <v>#VALUE!</v>
      </c>
      <c r="N11" s="433">
        <f t="shared" si="3"/>
        <v>0</v>
      </c>
      <c r="O11" s="435"/>
      <c r="P11" s="225">
        <v>65000</v>
      </c>
      <c r="Q11" s="226">
        <f>R11-P11+8.75</f>
        <v>132388.42500000002</v>
      </c>
      <c r="R11" s="216">
        <f>J11*0.1935</f>
        <v>197379.67500000002</v>
      </c>
      <c r="S11" s="309">
        <f>R11/I11</f>
        <v>5.480450894986777E-2</v>
      </c>
      <c r="T11" s="309">
        <f>R11/J11</f>
        <v>0.19350000000000001</v>
      </c>
      <c r="U11" s="292"/>
      <c r="V11" s="117"/>
      <c r="X11" s="117"/>
    </row>
    <row r="12" spans="2:24" ht="49.5" customHeight="1">
      <c r="B12" s="447" t="s">
        <v>22</v>
      </c>
      <c r="C12" s="449">
        <v>104346</v>
      </c>
      <c r="D12" s="236">
        <v>9</v>
      </c>
      <c r="E12" s="237" t="s">
        <v>10</v>
      </c>
      <c r="F12" s="238" t="s">
        <v>38</v>
      </c>
      <c r="G12" s="239">
        <v>1049897.1299999999</v>
      </c>
      <c r="H12" s="239">
        <v>1049897.1299999999</v>
      </c>
      <c r="I12" s="239">
        <f t="shared" si="0"/>
        <v>1270375.5272999997</v>
      </c>
      <c r="J12" s="239">
        <f t="shared" si="1"/>
        <v>762225.31637999986</v>
      </c>
      <c r="K12" s="235">
        <v>80.5</v>
      </c>
      <c r="L12" s="346" t="s">
        <v>110</v>
      </c>
      <c r="M12" s="432">
        <f>N12-C12</f>
        <v>26086.5</v>
      </c>
      <c r="N12" s="432">
        <f t="shared" si="3"/>
        <v>130432.5</v>
      </c>
      <c r="O12" s="434">
        <f>SUM(J12:J15)</f>
        <v>1026059.1105599998</v>
      </c>
      <c r="P12" s="232">
        <f>C12</f>
        <v>104346</v>
      </c>
      <c r="Q12" s="233">
        <f>R12-P12+8.74</f>
        <v>43153.33871952998</v>
      </c>
      <c r="R12" s="234">
        <f>J12*0.1935</f>
        <v>147490.59871952998</v>
      </c>
      <c r="S12" s="308">
        <f>R12/I12</f>
        <v>0.11610000000000001</v>
      </c>
      <c r="T12" s="308">
        <f>R12/J12</f>
        <v>0.19350000000000001</v>
      </c>
      <c r="U12" s="292"/>
      <c r="V12" s="117"/>
      <c r="X12" s="117"/>
    </row>
    <row r="13" spans="2:24" ht="34.5" customHeight="1">
      <c r="B13" s="451"/>
      <c r="C13" s="452"/>
      <c r="D13" s="22">
        <v>10</v>
      </c>
      <c r="E13" s="275" t="s">
        <v>55</v>
      </c>
      <c r="F13" s="10" t="s">
        <v>37</v>
      </c>
      <c r="G13" s="9">
        <v>79638.350000000006</v>
      </c>
      <c r="H13" s="9">
        <v>79638.350000000006</v>
      </c>
      <c r="I13" s="9">
        <f t="shared" si="0"/>
        <v>96362.4035</v>
      </c>
      <c r="J13" s="9">
        <f t="shared" si="1"/>
        <v>57817.4421</v>
      </c>
      <c r="K13" s="54">
        <v>35.4</v>
      </c>
      <c r="L13" s="338" t="s">
        <v>112</v>
      </c>
      <c r="M13" s="438" t="e">
        <f t="shared" si="4"/>
        <v>#VALUE!</v>
      </c>
      <c r="N13" s="438">
        <f t="shared" si="3"/>
        <v>0</v>
      </c>
      <c r="O13" s="439"/>
      <c r="P13" s="193"/>
      <c r="Q13" s="194"/>
      <c r="R13" s="195"/>
      <c r="S13" s="306"/>
      <c r="T13" s="332"/>
      <c r="V13" s="117"/>
      <c r="X13" s="117"/>
    </row>
    <row r="14" spans="2:24" ht="45.75" customHeight="1">
      <c r="B14" s="451"/>
      <c r="C14" s="452"/>
      <c r="D14" s="22">
        <v>11</v>
      </c>
      <c r="E14" s="275" t="s">
        <v>54</v>
      </c>
      <c r="F14" s="10" t="s">
        <v>44</v>
      </c>
      <c r="G14" s="9">
        <v>119804.82</v>
      </c>
      <c r="H14" s="9">
        <v>119804.82</v>
      </c>
      <c r="I14" s="9">
        <f t="shared" si="0"/>
        <v>144963.8322</v>
      </c>
      <c r="J14" s="9">
        <f t="shared" si="1"/>
        <v>86978.299320000006</v>
      </c>
      <c r="K14" s="54">
        <v>39.700000000000003</v>
      </c>
      <c r="L14" s="338" t="s">
        <v>111</v>
      </c>
      <c r="M14" s="438" t="e">
        <f t="shared" si="4"/>
        <v>#VALUE!</v>
      </c>
      <c r="N14" s="438">
        <f t="shared" si="3"/>
        <v>0</v>
      </c>
      <c r="O14" s="439"/>
      <c r="P14" s="196"/>
      <c r="Q14" s="197"/>
      <c r="R14" s="185"/>
      <c r="S14" s="305"/>
      <c r="T14" s="335"/>
      <c r="V14" s="117"/>
      <c r="W14" s="117"/>
      <c r="X14" s="117"/>
    </row>
    <row r="15" spans="2:24" ht="51.75" customHeight="1" thickBot="1">
      <c r="B15" s="448"/>
      <c r="C15" s="450"/>
      <c r="D15" s="315">
        <v>12</v>
      </c>
      <c r="E15" s="316" t="s">
        <v>12</v>
      </c>
      <c r="F15" s="317" t="s">
        <v>45</v>
      </c>
      <c r="G15" s="318">
        <v>163964.26</v>
      </c>
      <c r="H15" s="318">
        <v>163964.26</v>
      </c>
      <c r="I15" s="318">
        <f t="shared" si="0"/>
        <v>198396.75460000001</v>
      </c>
      <c r="J15" s="318">
        <f t="shared" si="1"/>
        <v>119038.05276000001</v>
      </c>
      <c r="K15" s="319">
        <v>77</v>
      </c>
      <c r="L15" s="341" t="s">
        <v>76</v>
      </c>
      <c r="M15" s="433" t="e">
        <f t="shared" si="4"/>
        <v>#VALUE!</v>
      </c>
      <c r="N15" s="433">
        <f t="shared" si="3"/>
        <v>0</v>
      </c>
      <c r="O15" s="435"/>
      <c r="P15" s="198"/>
      <c r="Q15" s="199"/>
      <c r="R15" s="200"/>
      <c r="S15" s="314"/>
      <c r="T15" s="314"/>
      <c r="V15" s="117"/>
      <c r="X15" s="117"/>
    </row>
    <row r="16" spans="2:24" ht="34.5" customHeight="1">
      <c r="B16" s="447" t="s">
        <v>24</v>
      </c>
      <c r="C16" s="449">
        <v>371264</v>
      </c>
      <c r="D16" s="236">
        <v>14</v>
      </c>
      <c r="E16" s="237" t="s">
        <v>13</v>
      </c>
      <c r="F16" s="238" t="s">
        <v>47</v>
      </c>
      <c r="G16" s="239">
        <v>53719</v>
      </c>
      <c r="H16" s="239">
        <v>53719</v>
      </c>
      <c r="I16" s="239">
        <f t="shared" si="0"/>
        <v>64999.99</v>
      </c>
      <c r="J16" s="239">
        <f>I16*0.6</f>
        <v>38999.993999999999</v>
      </c>
      <c r="K16" s="240">
        <v>35.5</v>
      </c>
      <c r="L16" s="347" t="s">
        <v>110</v>
      </c>
      <c r="M16" s="432">
        <f>N16-C16</f>
        <v>92816</v>
      </c>
      <c r="N16" s="432">
        <f t="shared" si="3"/>
        <v>464080</v>
      </c>
      <c r="O16" s="434">
        <f>J16+J17</f>
        <v>98999.994000000006</v>
      </c>
      <c r="P16" s="232">
        <f>J16*0.8</f>
        <v>31199.995200000001</v>
      </c>
      <c r="Q16" s="233">
        <f>J16*0.2</f>
        <v>7799.9988000000003</v>
      </c>
      <c r="R16" s="234">
        <f>P16+Q16</f>
        <v>38999.993999999999</v>
      </c>
      <c r="S16" s="308">
        <f>R16/I16</f>
        <v>0.6</v>
      </c>
      <c r="T16" s="308">
        <f t="shared" si="2"/>
        <v>1</v>
      </c>
      <c r="V16" s="117"/>
      <c r="X16" s="117"/>
    </row>
    <row r="17" spans="2:22" ht="34.5" customHeight="1" thickBot="1">
      <c r="B17" s="448"/>
      <c r="C17" s="450"/>
      <c r="D17" s="23">
        <v>15</v>
      </c>
      <c r="E17" s="354" t="s">
        <v>14</v>
      </c>
      <c r="F17" s="30" t="s">
        <v>47</v>
      </c>
      <c r="G17" s="31">
        <v>407437.24</v>
      </c>
      <c r="H17" s="31">
        <v>272726.55</v>
      </c>
      <c r="I17" s="31">
        <f t="shared" si="0"/>
        <v>329999.12549999997</v>
      </c>
      <c r="J17" s="31">
        <v>60000</v>
      </c>
      <c r="K17" s="63">
        <v>34.6</v>
      </c>
      <c r="L17" s="342" t="s">
        <v>76</v>
      </c>
      <c r="M17" s="433" t="e">
        <f t="shared" si="4"/>
        <v>#VALUE!</v>
      </c>
      <c r="N17" s="433">
        <f t="shared" si="3"/>
        <v>0</v>
      </c>
      <c r="O17" s="435"/>
      <c r="P17" s="178"/>
      <c r="Q17" s="179"/>
      <c r="R17" s="177"/>
      <c r="S17" s="312"/>
      <c r="T17" s="312"/>
      <c r="V17" s="117"/>
    </row>
    <row r="18" spans="2:22" ht="48" customHeight="1" thickBot="1">
      <c r="B18" s="205" t="s">
        <v>23</v>
      </c>
      <c r="C18" s="231">
        <v>492445</v>
      </c>
      <c r="D18" s="24">
        <v>13</v>
      </c>
      <c r="E18" s="355" t="s">
        <v>0</v>
      </c>
      <c r="F18" s="18" t="s">
        <v>46</v>
      </c>
      <c r="G18" s="19">
        <v>157680.5</v>
      </c>
      <c r="H18" s="19">
        <v>157680.5</v>
      </c>
      <c r="I18" s="19">
        <f>H18*1.21</f>
        <v>190793.405</v>
      </c>
      <c r="J18" s="19">
        <f>I18*0.6</f>
        <v>114476.04299999999</v>
      </c>
      <c r="K18" s="192" t="s">
        <v>77</v>
      </c>
      <c r="L18" s="343" t="s">
        <v>77</v>
      </c>
      <c r="M18" s="267">
        <f>N18-C18</f>
        <v>123111.25</v>
      </c>
      <c r="N18" s="267">
        <f t="shared" si="3"/>
        <v>615556.25</v>
      </c>
      <c r="O18" s="268">
        <f>J18</f>
        <v>114476.04299999999</v>
      </c>
      <c r="P18" s="444" t="s">
        <v>103</v>
      </c>
      <c r="Q18" s="445"/>
      <c r="R18" s="446"/>
      <c r="S18" s="192" t="s">
        <v>77</v>
      </c>
      <c r="T18" s="192" t="s">
        <v>77</v>
      </c>
    </row>
    <row r="19" spans="2:22" ht="30" customHeight="1" thickBot="1">
      <c r="C19" s="119"/>
      <c r="F19" s="120"/>
      <c r="G19" s="119"/>
      <c r="H19" s="119"/>
      <c r="I19" s="119"/>
      <c r="J19" s="119"/>
      <c r="K19" s="350"/>
      <c r="L19" s="293" t="s">
        <v>63</v>
      </c>
      <c r="M19" s="294" t="e">
        <f>SUM(M4:M17)</f>
        <v>#VALUE!</v>
      </c>
      <c r="N19" s="294">
        <f t="shared" si="3"/>
        <v>0</v>
      </c>
      <c r="O19" s="294">
        <f>SUM(O4:O17)</f>
        <v>2644039.1590399998</v>
      </c>
      <c r="P19" s="294">
        <f>SUM(P4:P17)</f>
        <v>283218.94899200002</v>
      </c>
      <c r="Q19" s="294">
        <f t="shared" ref="Q19:R19" si="5">SUM(Q4:Q17)</f>
        <v>204010.00096752998</v>
      </c>
      <c r="R19" s="295">
        <f t="shared" si="5"/>
        <v>487211.45995953004</v>
      </c>
    </row>
    <row r="20" spans="2:22" ht="30.75" customHeight="1" thickBot="1">
      <c r="K20" s="348"/>
      <c r="L20" s="285" t="s">
        <v>97</v>
      </c>
      <c r="M20" s="286" t="e">
        <f>SUM(M5:M18)</f>
        <v>#VALUE!</v>
      </c>
      <c r="N20" s="286">
        <f t="shared" si="3"/>
        <v>0</v>
      </c>
      <c r="O20" s="286">
        <f>SUM(O5:O18)</f>
        <v>2443768.18946</v>
      </c>
      <c r="P20" s="287">
        <f>P19/R19</f>
        <v>0.58130600831007839</v>
      </c>
      <c r="Q20" s="287">
        <f>Q19/R19</f>
        <v>0.41872988986030002</v>
      </c>
      <c r="R20" s="288">
        <f>P20+Q20</f>
        <v>1.0000358981703785</v>
      </c>
    </row>
    <row r="21" spans="2:22" ht="10.5" customHeight="1" thickBot="1">
      <c r="K21" s="349"/>
      <c r="P21" s="170"/>
      <c r="Q21" s="170"/>
      <c r="R21" s="170"/>
    </row>
    <row r="22" spans="2:22" ht="23.25" customHeight="1" thickBot="1">
      <c r="K22" s="348"/>
      <c r="L22" s="204" t="s">
        <v>98</v>
      </c>
      <c r="M22" s="281"/>
      <c r="N22" s="281"/>
      <c r="O22" s="281" t="s">
        <v>78</v>
      </c>
      <c r="P22" s="301">
        <v>816040</v>
      </c>
      <c r="Q22" s="302">
        <v>204010</v>
      </c>
      <c r="R22" s="303">
        <f>SUM(P22:Q22)</f>
        <v>1020050</v>
      </c>
    </row>
    <row r="23" spans="2:22" ht="8.25" customHeight="1" thickBot="1">
      <c r="K23" s="241"/>
      <c r="L23" s="241"/>
      <c r="M23" s="281"/>
      <c r="N23" s="281"/>
      <c r="O23" s="281"/>
      <c r="P23" s="281"/>
      <c r="Q23" s="281"/>
      <c r="R23" s="281"/>
    </row>
    <row r="24" spans="2:22" ht="23.25" customHeight="1" thickBot="1">
      <c r="K24" s="348"/>
      <c r="L24" s="204" t="s">
        <v>99</v>
      </c>
      <c r="M24" s="281"/>
      <c r="N24" s="281"/>
      <c r="O24" s="281" t="s">
        <v>78</v>
      </c>
      <c r="P24" s="301">
        <f>P22-P19</f>
        <v>532821.05100800004</v>
      </c>
      <c r="Q24" s="302">
        <f>Q22-Q19</f>
        <v>-9.6752998069860041E-4</v>
      </c>
      <c r="R24" s="303">
        <f>SUM(P24:Q24)</f>
        <v>532821.05004047009</v>
      </c>
    </row>
    <row r="29" spans="2:22">
      <c r="R29" s="103"/>
    </row>
  </sheetData>
  <mergeCells count="23">
    <mergeCell ref="P1:Q1"/>
    <mergeCell ref="P2:R2"/>
    <mergeCell ref="B4:B8"/>
    <mergeCell ref="C4:C8"/>
    <mergeCell ref="M4:M8"/>
    <mergeCell ref="N4:N8"/>
    <mergeCell ref="O4:O8"/>
    <mergeCell ref="P18:R18"/>
    <mergeCell ref="B10:B11"/>
    <mergeCell ref="C10:C11"/>
    <mergeCell ref="M10:M11"/>
    <mergeCell ref="N10:N11"/>
    <mergeCell ref="O10:O11"/>
    <mergeCell ref="B12:B15"/>
    <mergeCell ref="C12:C15"/>
    <mergeCell ref="M12:M15"/>
    <mergeCell ref="N12:N15"/>
    <mergeCell ref="O12:O15"/>
    <mergeCell ref="B16:B17"/>
    <mergeCell ref="C16:C17"/>
    <mergeCell ref="M16:M17"/>
    <mergeCell ref="N16:N17"/>
    <mergeCell ref="O16:O17"/>
  </mergeCells>
  <printOptions horizontalCentered="1"/>
  <pageMargins left="0.25" right="0.25" top="0.75" bottom="0.75" header="0.3" footer="0.3"/>
  <pageSetup paperSize="9" scale="4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24"/>
  <sheetViews>
    <sheetView view="pageBreakPreview" zoomScale="60" zoomScaleNormal="70" workbookViewId="0">
      <selection activeCell="F28" sqref="F28"/>
    </sheetView>
  </sheetViews>
  <sheetFormatPr baseColWidth="10" defaultRowHeight="15"/>
  <cols>
    <col min="1" max="1" width="3.7109375" customWidth="1"/>
    <col min="2" max="2" width="22.42578125" style="4" customWidth="1"/>
    <col min="3" max="3" width="15.42578125" style="65" customWidth="1"/>
    <col min="4" max="4" width="7" style="4" customWidth="1"/>
    <col min="5" max="5" width="46.7109375" style="1" customWidth="1"/>
    <col min="6" max="6" width="22.140625" style="11" customWidth="1"/>
    <col min="7" max="7" width="18.5703125" style="1" bestFit="1" customWidth="1"/>
    <col min="8" max="9" width="20.5703125" style="1" customWidth="1"/>
    <col min="10" max="10" width="22.140625" style="1" customWidth="1"/>
    <col min="11" max="11" width="20.5703125" style="1" customWidth="1"/>
    <col min="12" max="14" width="20.5703125" style="65" hidden="1" customWidth="1"/>
    <col min="15" max="17" width="20.5703125" style="65" customWidth="1"/>
    <col min="18" max="18" width="20" style="1" customWidth="1"/>
    <col min="19" max="19" width="18.7109375" style="1" bestFit="1" customWidth="1"/>
    <col min="20" max="20" width="11.42578125" style="1"/>
    <col min="21" max="21" width="18.7109375" style="1" bestFit="1" customWidth="1"/>
    <col min="22" max="22" width="16.42578125" style="1" bestFit="1" customWidth="1"/>
    <col min="23" max="16384" width="11.42578125" style="1"/>
  </cols>
  <sheetData>
    <row r="1" spans="2:21" ht="15.75" thickBot="1">
      <c r="O1" s="440"/>
      <c r="P1" s="440"/>
      <c r="Q1" s="269"/>
    </row>
    <row r="2" spans="2:21" ht="35.25" customHeight="1" thickBot="1">
      <c r="B2" s="271" t="s">
        <v>102</v>
      </c>
      <c r="O2" s="453" t="s">
        <v>86</v>
      </c>
      <c r="P2" s="454"/>
      <c r="Q2" s="455"/>
    </row>
    <row r="3" spans="2:21" ht="71.25" customHeight="1" thickBot="1">
      <c r="B3" s="204" t="s">
        <v>48</v>
      </c>
      <c r="C3" s="121" t="s">
        <v>87</v>
      </c>
      <c r="D3" s="27" t="s">
        <v>49</v>
      </c>
      <c r="E3" s="26" t="s">
        <v>5</v>
      </c>
      <c r="F3" s="25" t="s">
        <v>25</v>
      </c>
      <c r="G3" s="25" t="s">
        <v>67</v>
      </c>
      <c r="H3" s="25" t="s">
        <v>27</v>
      </c>
      <c r="I3" s="25" t="s">
        <v>79</v>
      </c>
      <c r="J3" s="25" t="s">
        <v>81</v>
      </c>
      <c r="K3" s="52" t="s">
        <v>30</v>
      </c>
      <c r="L3" s="121" t="s">
        <v>104</v>
      </c>
      <c r="M3" s="121" t="s">
        <v>105</v>
      </c>
      <c r="N3" s="270" t="s">
        <v>71</v>
      </c>
      <c r="O3" s="326" t="s">
        <v>108</v>
      </c>
      <c r="P3" s="142" t="s">
        <v>107</v>
      </c>
      <c r="Q3" s="143" t="s">
        <v>84</v>
      </c>
      <c r="R3" s="52" t="s">
        <v>100</v>
      </c>
      <c r="S3" s="52" t="s">
        <v>106</v>
      </c>
    </row>
    <row r="4" spans="2:21" ht="34.5" customHeight="1">
      <c r="B4" s="447" t="s">
        <v>19</v>
      </c>
      <c r="C4" s="449">
        <v>816040</v>
      </c>
      <c r="D4" s="21">
        <v>1</v>
      </c>
      <c r="E4" s="32" t="s">
        <v>35</v>
      </c>
      <c r="F4" s="14" t="s">
        <v>31</v>
      </c>
      <c r="G4" s="15">
        <v>57040</v>
      </c>
      <c r="H4" s="15">
        <v>57040</v>
      </c>
      <c r="I4" s="15">
        <f>H4*1.21</f>
        <v>69018.399999999994</v>
      </c>
      <c r="J4" s="168">
        <f>I4*0.6</f>
        <v>41411.039999999994</v>
      </c>
      <c r="K4" s="53">
        <v>50.9</v>
      </c>
      <c r="L4" s="432">
        <f>M4-C4</f>
        <v>204010</v>
      </c>
      <c r="M4" s="432">
        <f>C4*100/80</f>
        <v>1020050</v>
      </c>
      <c r="N4" s="434">
        <f>SUM(J4:J8)</f>
        <v>314747.01257999998</v>
      </c>
      <c r="O4" s="180"/>
      <c r="P4" s="181"/>
      <c r="Q4" s="182"/>
      <c r="R4" s="304"/>
      <c r="S4" s="304"/>
    </row>
    <row r="5" spans="2:21" ht="34.5" customHeight="1">
      <c r="B5" s="451"/>
      <c r="C5" s="452"/>
      <c r="D5" s="22">
        <v>2</v>
      </c>
      <c r="E5" s="33" t="s">
        <v>34</v>
      </c>
      <c r="F5" s="10" t="s">
        <v>32</v>
      </c>
      <c r="G5" s="9">
        <v>57040</v>
      </c>
      <c r="H5" s="9">
        <v>57040</v>
      </c>
      <c r="I5" s="9">
        <f t="shared" ref="I5:I17" si="0">H5*1.21</f>
        <v>69018.399999999994</v>
      </c>
      <c r="J5" s="169">
        <f t="shared" ref="J5:J15" si="1">I5*0.6</f>
        <v>41411.039999999994</v>
      </c>
      <c r="K5" s="54">
        <v>49.8</v>
      </c>
      <c r="L5" s="438"/>
      <c r="M5" s="438"/>
      <c r="N5" s="439"/>
      <c r="O5" s="183"/>
      <c r="P5" s="184"/>
      <c r="Q5" s="185"/>
      <c r="R5" s="305"/>
      <c r="S5" s="305"/>
    </row>
    <row r="6" spans="2:21" ht="47.25" customHeight="1">
      <c r="B6" s="451"/>
      <c r="C6" s="452"/>
      <c r="D6" s="22">
        <v>3</v>
      </c>
      <c r="E6" s="33" t="s">
        <v>36</v>
      </c>
      <c r="F6" s="10" t="s">
        <v>33</v>
      </c>
      <c r="G6" s="9">
        <v>84158.12</v>
      </c>
      <c r="H6" s="9">
        <v>84158.12</v>
      </c>
      <c r="I6" s="9">
        <f t="shared" si="0"/>
        <v>101831.32519999999</v>
      </c>
      <c r="J6" s="169">
        <f t="shared" si="1"/>
        <v>61098.795119999995</v>
      </c>
      <c r="K6" s="54">
        <v>35.1</v>
      </c>
      <c r="L6" s="438"/>
      <c r="M6" s="438"/>
      <c r="N6" s="439"/>
      <c r="O6" s="183"/>
      <c r="P6" s="184"/>
      <c r="Q6" s="185"/>
      <c r="R6" s="57"/>
      <c r="S6" s="57"/>
    </row>
    <row r="7" spans="2:21" ht="48.75" customHeight="1">
      <c r="B7" s="451"/>
      <c r="C7" s="452"/>
      <c r="D7" s="206">
        <v>4</v>
      </c>
      <c r="E7" s="207" t="s">
        <v>1</v>
      </c>
      <c r="F7" s="208" t="s">
        <v>43</v>
      </c>
      <c r="G7" s="209">
        <v>199545.68</v>
      </c>
      <c r="H7" s="209">
        <v>199545.68</v>
      </c>
      <c r="I7" s="209">
        <f t="shared" si="0"/>
        <v>241450.27279999998</v>
      </c>
      <c r="J7" s="210">
        <f t="shared" si="1"/>
        <v>144870.16367999997</v>
      </c>
      <c r="K7" s="229">
        <v>51.6</v>
      </c>
      <c r="L7" s="438"/>
      <c r="M7" s="438"/>
      <c r="N7" s="439"/>
      <c r="O7" s="211">
        <f>J7*0.8</f>
        <v>115896.13094399997</v>
      </c>
      <c r="P7" s="212">
        <f>J7*0.2</f>
        <v>28974.032735999994</v>
      </c>
      <c r="Q7" s="213">
        <f>O7+P7</f>
        <v>144870.16367999997</v>
      </c>
      <c r="R7" s="307">
        <f>Q7/I7</f>
        <v>0.6</v>
      </c>
      <c r="S7" s="307">
        <f>Q7/J7</f>
        <v>1</v>
      </c>
      <c r="T7" s="334"/>
    </row>
    <row r="8" spans="2:21" ht="77.25" customHeight="1" thickBot="1">
      <c r="B8" s="448"/>
      <c r="C8" s="450"/>
      <c r="D8" s="221">
        <v>5</v>
      </c>
      <c r="E8" s="222" t="s">
        <v>6</v>
      </c>
      <c r="F8" s="223" t="s">
        <v>42</v>
      </c>
      <c r="G8" s="272">
        <v>93305.79</v>
      </c>
      <c r="H8" s="272">
        <v>35752.03</v>
      </c>
      <c r="I8" s="272">
        <f t="shared" si="0"/>
        <v>43259.956299999998</v>
      </c>
      <c r="J8" s="224">
        <f t="shared" si="1"/>
        <v>25955.973779999997</v>
      </c>
      <c r="K8" s="273">
        <v>68</v>
      </c>
      <c r="L8" s="433"/>
      <c r="M8" s="433"/>
      <c r="N8" s="435"/>
      <c r="O8" s="289">
        <f>J8*0.8</f>
        <v>20764.779023999999</v>
      </c>
      <c r="P8" s="290">
        <f>J8*0.2</f>
        <v>5191.1947559999999</v>
      </c>
      <c r="Q8" s="291">
        <f>O8+P8</f>
        <v>25955.97378</v>
      </c>
      <c r="R8" s="310">
        <f>Q8/I8</f>
        <v>0.60000000000000009</v>
      </c>
      <c r="S8" s="310">
        <f t="shared" ref="S8:S17" si="2">Q8/J8</f>
        <v>1.0000000000000002</v>
      </c>
      <c r="T8" s="334"/>
    </row>
    <row r="9" spans="2:21" ht="34.5" customHeight="1" thickBot="1">
      <c r="B9" s="205" t="s">
        <v>20</v>
      </c>
      <c r="C9" s="231">
        <v>440510</v>
      </c>
      <c r="D9" s="217">
        <v>6</v>
      </c>
      <c r="E9" s="218" t="s">
        <v>7</v>
      </c>
      <c r="F9" s="219" t="s">
        <v>94</v>
      </c>
      <c r="G9" s="220">
        <v>106591.21</v>
      </c>
      <c r="H9" s="220">
        <v>106591.21</v>
      </c>
      <c r="I9" s="220">
        <f t="shared" si="0"/>
        <v>128975.36410000001</v>
      </c>
      <c r="J9" s="220">
        <f t="shared" si="1"/>
        <v>77385.218460000004</v>
      </c>
      <c r="K9" s="228">
        <v>33.299999999999997</v>
      </c>
      <c r="L9" s="75">
        <f>M9-C9</f>
        <v>110127.5</v>
      </c>
      <c r="M9" s="75">
        <f t="shared" ref="M9:M20" si="3">C9*100/80</f>
        <v>550637.5</v>
      </c>
      <c r="N9" s="123">
        <f>J9</f>
        <v>77385.218460000004</v>
      </c>
      <c r="O9" s="289">
        <f>J9*0.8</f>
        <v>61908.174768000004</v>
      </c>
      <c r="P9" s="290">
        <f>J9*0.2</f>
        <v>15477.043692000001</v>
      </c>
      <c r="Q9" s="291">
        <f>O9+P9</f>
        <v>77385.218460000004</v>
      </c>
      <c r="R9" s="311">
        <f>Q9/I9</f>
        <v>0.6</v>
      </c>
      <c r="S9" s="311">
        <f t="shared" si="2"/>
        <v>1</v>
      </c>
      <c r="T9" s="334"/>
    </row>
    <row r="10" spans="2:21" ht="34.5" customHeight="1">
      <c r="B10" s="447" t="s">
        <v>21</v>
      </c>
      <c r="C10" s="449">
        <v>65000</v>
      </c>
      <c r="D10" s="21">
        <v>7</v>
      </c>
      <c r="E10" s="32" t="s">
        <v>8</v>
      </c>
      <c r="F10" s="12" t="s">
        <v>40</v>
      </c>
      <c r="G10" s="15">
        <v>1458385.9</v>
      </c>
      <c r="H10" s="15">
        <v>147104.44</v>
      </c>
      <c r="I10" s="15">
        <f t="shared" si="0"/>
        <v>177996.37239999999</v>
      </c>
      <c r="J10" s="15">
        <f t="shared" si="1"/>
        <v>106797.82343999999</v>
      </c>
      <c r="K10" s="57">
        <v>52.6</v>
      </c>
      <c r="L10" s="432">
        <f>M10-C10</f>
        <v>16250</v>
      </c>
      <c r="M10" s="432">
        <f t="shared" si="3"/>
        <v>81250</v>
      </c>
      <c r="N10" s="434">
        <f>SUM(J10:J11)</f>
        <v>1126847.8234399999</v>
      </c>
      <c r="O10" s="201"/>
      <c r="P10" s="202"/>
      <c r="Q10" s="188"/>
      <c r="R10" s="57"/>
      <c r="S10" s="333"/>
      <c r="T10" s="334"/>
    </row>
    <row r="11" spans="2:21" ht="34.5" customHeight="1" thickBot="1">
      <c r="B11" s="448"/>
      <c r="C11" s="450"/>
      <c r="D11" s="221">
        <v>8</v>
      </c>
      <c r="E11" s="222" t="s">
        <v>9</v>
      </c>
      <c r="F11" s="223" t="s">
        <v>39</v>
      </c>
      <c r="G11" s="224">
        <v>2976464.92</v>
      </c>
      <c r="H11" s="224">
        <v>2976464.92</v>
      </c>
      <c r="I11" s="224">
        <f t="shared" si="0"/>
        <v>3601522.5532</v>
      </c>
      <c r="J11" s="224">
        <v>1020050</v>
      </c>
      <c r="K11" s="227">
        <v>85.1</v>
      </c>
      <c r="L11" s="433">
        <f t="shared" ref="L11:L17" si="4">K11*100/80</f>
        <v>106.375</v>
      </c>
      <c r="M11" s="433">
        <f t="shared" si="3"/>
        <v>0</v>
      </c>
      <c r="N11" s="435"/>
      <c r="O11" s="225">
        <v>65000</v>
      </c>
      <c r="P11" s="226">
        <f>Q11-O11</f>
        <v>101147.88610500001</v>
      </c>
      <c r="Q11" s="216">
        <f>J11*0.1628821</f>
        <v>166147.88610500001</v>
      </c>
      <c r="R11" s="309">
        <f>Q11/I11</f>
        <v>4.6132679623892801E-2</v>
      </c>
      <c r="S11" s="309">
        <f>Q11/J11</f>
        <v>0.1628821</v>
      </c>
      <c r="T11" s="334"/>
      <c r="U11" s="117"/>
    </row>
    <row r="12" spans="2:21" ht="49.5" customHeight="1">
      <c r="B12" s="447" t="s">
        <v>22</v>
      </c>
      <c r="C12" s="449">
        <v>104346</v>
      </c>
      <c r="D12" s="236">
        <v>9</v>
      </c>
      <c r="E12" s="237" t="s">
        <v>10</v>
      </c>
      <c r="F12" s="238" t="s">
        <v>38</v>
      </c>
      <c r="G12" s="239">
        <v>1049897.1299999999</v>
      </c>
      <c r="H12" s="239">
        <v>1049897.1299999999</v>
      </c>
      <c r="I12" s="239">
        <f t="shared" si="0"/>
        <v>1270375.5272999997</v>
      </c>
      <c r="J12" s="239">
        <f t="shared" si="1"/>
        <v>762225.31637999986</v>
      </c>
      <c r="K12" s="235">
        <v>80.5</v>
      </c>
      <c r="L12" s="432">
        <f>M12-C12</f>
        <v>26086.5</v>
      </c>
      <c r="M12" s="432">
        <f t="shared" si="3"/>
        <v>130432.5</v>
      </c>
      <c r="N12" s="434">
        <f>SUM(J12:J15)</f>
        <v>1026059.1105599998</v>
      </c>
      <c r="O12" s="232">
        <f>C12-O15</f>
        <v>92918.346935039997</v>
      </c>
      <c r="P12" s="233">
        <f>Q12-O12</f>
        <v>30562.154318519984</v>
      </c>
      <c r="Q12" s="234">
        <f>J12*0.162</f>
        <v>123480.50125355998</v>
      </c>
      <c r="R12" s="308">
        <f>Q12/I12</f>
        <v>9.7200000000000009E-2</v>
      </c>
      <c r="S12" s="308">
        <f>Q12/J12</f>
        <v>0.16200000000000001</v>
      </c>
      <c r="T12" s="334"/>
    </row>
    <row r="13" spans="2:21" ht="34.5" customHeight="1">
      <c r="B13" s="451"/>
      <c r="C13" s="452"/>
      <c r="D13" s="22">
        <v>10</v>
      </c>
      <c r="E13" s="33" t="s">
        <v>55</v>
      </c>
      <c r="F13" s="10" t="s">
        <v>37</v>
      </c>
      <c r="G13" s="9">
        <v>79638.350000000006</v>
      </c>
      <c r="H13" s="9">
        <v>79638.350000000006</v>
      </c>
      <c r="I13" s="9">
        <f t="shared" si="0"/>
        <v>96362.4035</v>
      </c>
      <c r="J13" s="9">
        <f t="shared" si="1"/>
        <v>57817.4421</v>
      </c>
      <c r="K13" s="54">
        <v>35.4</v>
      </c>
      <c r="L13" s="438">
        <f t="shared" si="4"/>
        <v>44.25</v>
      </c>
      <c r="M13" s="438">
        <f t="shared" si="3"/>
        <v>0</v>
      </c>
      <c r="N13" s="439"/>
      <c r="O13" s="193"/>
      <c r="P13" s="194"/>
      <c r="Q13" s="195"/>
      <c r="R13" s="306"/>
      <c r="S13" s="332"/>
      <c r="T13" s="334"/>
    </row>
    <row r="14" spans="2:21" ht="45.75" customHeight="1">
      <c r="B14" s="451"/>
      <c r="C14" s="452"/>
      <c r="D14" s="22">
        <v>11</v>
      </c>
      <c r="E14" s="33" t="s">
        <v>54</v>
      </c>
      <c r="F14" s="10" t="s">
        <v>44</v>
      </c>
      <c r="G14" s="9">
        <v>119804.82</v>
      </c>
      <c r="H14" s="9">
        <v>119804.82</v>
      </c>
      <c r="I14" s="9">
        <f t="shared" si="0"/>
        <v>144963.8322</v>
      </c>
      <c r="J14" s="9">
        <f t="shared" si="1"/>
        <v>86978.299320000006</v>
      </c>
      <c r="K14" s="54">
        <v>39.700000000000003</v>
      </c>
      <c r="L14" s="438">
        <f t="shared" si="4"/>
        <v>49.625000000000007</v>
      </c>
      <c r="M14" s="438">
        <f t="shared" si="3"/>
        <v>0</v>
      </c>
      <c r="N14" s="439"/>
      <c r="O14" s="297"/>
      <c r="P14" s="298"/>
      <c r="Q14" s="188"/>
      <c r="R14" s="57"/>
      <c r="S14" s="313"/>
      <c r="T14" s="334"/>
    </row>
    <row r="15" spans="2:21" ht="51.75" customHeight="1" thickBot="1">
      <c r="B15" s="448"/>
      <c r="C15" s="450"/>
      <c r="D15" s="221">
        <v>12</v>
      </c>
      <c r="E15" s="222" t="s">
        <v>12</v>
      </c>
      <c r="F15" s="223" t="s">
        <v>45</v>
      </c>
      <c r="G15" s="272">
        <v>163964.26</v>
      </c>
      <c r="H15" s="272">
        <v>163964.26</v>
      </c>
      <c r="I15" s="272">
        <f t="shared" si="0"/>
        <v>198396.75460000001</v>
      </c>
      <c r="J15" s="272">
        <f t="shared" si="1"/>
        <v>119038.05276000001</v>
      </c>
      <c r="K15" s="300">
        <v>77</v>
      </c>
      <c r="L15" s="433">
        <f t="shared" si="4"/>
        <v>96.25</v>
      </c>
      <c r="M15" s="433">
        <f t="shared" si="3"/>
        <v>0</v>
      </c>
      <c r="N15" s="435"/>
      <c r="O15" s="225">
        <f>Q15*0.8</f>
        <v>11427.653064960001</v>
      </c>
      <c r="P15" s="226">
        <f>Q15-O15</f>
        <v>2856.9132662399988</v>
      </c>
      <c r="Q15" s="296">
        <f>J15*0.12</f>
        <v>14284.5663312</v>
      </c>
      <c r="R15" s="309">
        <f>Q15/I15</f>
        <v>7.1999999999999995E-2</v>
      </c>
      <c r="S15" s="309">
        <f>Q15/J15</f>
        <v>0.12</v>
      </c>
      <c r="T15" s="334"/>
      <c r="U15" s="117"/>
    </row>
    <row r="16" spans="2:21" ht="34.5" customHeight="1">
      <c r="B16" s="447" t="s">
        <v>24</v>
      </c>
      <c r="C16" s="449">
        <v>371264</v>
      </c>
      <c r="D16" s="236">
        <v>14</v>
      </c>
      <c r="E16" s="237" t="s">
        <v>13</v>
      </c>
      <c r="F16" s="238" t="s">
        <v>47</v>
      </c>
      <c r="G16" s="239">
        <v>53719</v>
      </c>
      <c r="H16" s="239">
        <v>53719</v>
      </c>
      <c r="I16" s="239">
        <f t="shared" si="0"/>
        <v>64999.99</v>
      </c>
      <c r="J16" s="239">
        <f>I16*0.6</f>
        <v>38999.993999999999</v>
      </c>
      <c r="K16" s="240">
        <v>35.5</v>
      </c>
      <c r="L16" s="432">
        <f>M16-C16</f>
        <v>92816</v>
      </c>
      <c r="M16" s="432">
        <f t="shared" si="3"/>
        <v>464080</v>
      </c>
      <c r="N16" s="434">
        <f>J16+J17</f>
        <v>98999.994000000006</v>
      </c>
      <c r="O16" s="232">
        <f>J16*0.8</f>
        <v>31199.995200000001</v>
      </c>
      <c r="P16" s="233">
        <f>J16*0.2</f>
        <v>7799.9988000000003</v>
      </c>
      <c r="Q16" s="234">
        <f>O16+P16</f>
        <v>38999.993999999999</v>
      </c>
      <c r="R16" s="308">
        <f>Q16/I16</f>
        <v>0.6</v>
      </c>
      <c r="S16" s="308">
        <f t="shared" si="2"/>
        <v>1</v>
      </c>
    </row>
    <row r="17" spans="2:22" ht="34.5" customHeight="1" thickBot="1">
      <c r="B17" s="448"/>
      <c r="C17" s="450"/>
      <c r="D17" s="221">
        <v>15</v>
      </c>
      <c r="E17" s="320" t="s">
        <v>14</v>
      </c>
      <c r="F17" s="321" t="s">
        <v>47</v>
      </c>
      <c r="G17" s="322">
        <v>407437.24</v>
      </c>
      <c r="H17" s="322">
        <v>272726.55</v>
      </c>
      <c r="I17" s="322">
        <f t="shared" si="0"/>
        <v>329999.12549999997</v>
      </c>
      <c r="J17" s="322">
        <v>60000</v>
      </c>
      <c r="K17" s="299">
        <v>34.6</v>
      </c>
      <c r="L17" s="433">
        <f t="shared" si="4"/>
        <v>43.25</v>
      </c>
      <c r="M17" s="433">
        <f t="shared" si="3"/>
        <v>0</v>
      </c>
      <c r="N17" s="435"/>
      <c r="O17" s="225">
        <f>J17*0.8</f>
        <v>48000</v>
      </c>
      <c r="P17" s="226">
        <f>J17*0.2</f>
        <v>12000</v>
      </c>
      <c r="Q17" s="296">
        <f>O17+P17</f>
        <v>60000</v>
      </c>
      <c r="R17" s="307">
        <f>Q17/I17</f>
        <v>0.18181866363764049</v>
      </c>
      <c r="S17" s="307">
        <f t="shared" si="2"/>
        <v>1</v>
      </c>
      <c r="V17" s="117"/>
    </row>
    <row r="18" spans="2:22" ht="48" customHeight="1" thickBot="1">
      <c r="B18" s="205" t="s">
        <v>23</v>
      </c>
      <c r="C18" s="231">
        <v>492445</v>
      </c>
      <c r="D18" s="24">
        <v>13</v>
      </c>
      <c r="E18" s="35" t="s">
        <v>0</v>
      </c>
      <c r="F18" s="18" t="s">
        <v>46</v>
      </c>
      <c r="G18" s="19">
        <v>157680.5</v>
      </c>
      <c r="H18" s="19">
        <v>157680.5</v>
      </c>
      <c r="I18" s="19">
        <f>H18*1.21</f>
        <v>190793.405</v>
      </c>
      <c r="J18" s="19">
        <f>I18*0.6</f>
        <v>114476.04299999999</v>
      </c>
      <c r="K18" s="280" t="s">
        <v>77</v>
      </c>
      <c r="L18" s="267">
        <f>M18-C18</f>
        <v>123111.25</v>
      </c>
      <c r="M18" s="267">
        <f t="shared" si="3"/>
        <v>615556.25</v>
      </c>
      <c r="N18" s="268">
        <f>J18</f>
        <v>114476.04299999999</v>
      </c>
      <c r="O18" s="444" t="s">
        <v>103</v>
      </c>
      <c r="P18" s="445"/>
      <c r="Q18" s="446"/>
      <c r="R18" s="192" t="s">
        <v>77</v>
      </c>
      <c r="S18" s="192" t="s">
        <v>77</v>
      </c>
    </row>
    <row r="19" spans="2:22" ht="30" customHeight="1" thickBot="1">
      <c r="C19" s="119"/>
      <c r="F19" s="120"/>
      <c r="G19" s="119"/>
      <c r="H19" s="119"/>
      <c r="I19" s="119"/>
      <c r="J19" s="119"/>
      <c r="K19" s="293" t="s">
        <v>63</v>
      </c>
      <c r="L19" s="294">
        <f>SUM(L4:L17)</f>
        <v>449629.75</v>
      </c>
      <c r="M19" s="294">
        <f t="shared" si="3"/>
        <v>0</v>
      </c>
      <c r="N19" s="294">
        <f>SUM(N4:N17)</f>
        <v>2644039.1590399998</v>
      </c>
      <c r="O19" s="294">
        <f>SUM(O4:O17)</f>
        <v>447115.07993599988</v>
      </c>
      <c r="P19" s="294">
        <f t="shared" ref="P19:Q19" si="5">SUM(P4:P17)</f>
        <v>204009.22367375999</v>
      </c>
      <c r="Q19" s="295">
        <f t="shared" si="5"/>
        <v>651124.3036097599</v>
      </c>
    </row>
    <row r="20" spans="2:22" ht="30.75" customHeight="1" thickBot="1">
      <c r="K20" s="285" t="s">
        <v>97</v>
      </c>
      <c r="L20" s="286">
        <f>SUM(L5:L18)</f>
        <v>368731</v>
      </c>
      <c r="M20" s="286">
        <f t="shared" si="3"/>
        <v>0</v>
      </c>
      <c r="N20" s="286">
        <f>SUM(N5:N18)</f>
        <v>2443768.18946</v>
      </c>
      <c r="O20" s="287">
        <f>O19/Q19</f>
        <v>0.68668160204932327</v>
      </c>
      <c r="P20" s="287">
        <f>P19/Q19</f>
        <v>0.31331839795067667</v>
      </c>
      <c r="Q20" s="288">
        <f>O20+P20</f>
        <v>1</v>
      </c>
    </row>
    <row r="21" spans="2:22" ht="10.5" customHeight="1" thickBot="1">
      <c r="O21" s="170"/>
      <c r="P21" s="170"/>
      <c r="Q21" s="170"/>
    </row>
    <row r="22" spans="2:22" ht="23.25" customHeight="1" thickBot="1">
      <c r="K22" s="204" t="s">
        <v>98</v>
      </c>
      <c r="L22" s="281"/>
      <c r="M22" s="281"/>
      <c r="N22" s="281" t="s">
        <v>78</v>
      </c>
      <c r="O22" s="282">
        <v>816040</v>
      </c>
      <c r="P22" s="283">
        <v>204010</v>
      </c>
      <c r="Q22" s="284">
        <f>SUM(O22:P22)</f>
        <v>1020050</v>
      </c>
    </row>
    <row r="23" spans="2:22" ht="8.25" customHeight="1" thickBot="1">
      <c r="K23" s="241"/>
      <c r="L23" s="281"/>
      <c r="M23" s="281"/>
      <c r="N23" s="281"/>
      <c r="O23" s="281"/>
      <c r="P23" s="281"/>
      <c r="Q23" s="281"/>
    </row>
    <row r="24" spans="2:22" ht="23.25" customHeight="1" thickBot="1">
      <c r="K24" s="204" t="s">
        <v>99</v>
      </c>
      <c r="L24" s="281"/>
      <c r="M24" s="281"/>
      <c r="N24" s="281" t="s">
        <v>78</v>
      </c>
      <c r="O24" s="301">
        <f>O22-O19</f>
        <v>368924.92006400012</v>
      </c>
      <c r="P24" s="302">
        <f>P22-P19</f>
        <v>0.77632624001125805</v>
      </c>
      <c r="Q24" s="303">
        <f>SUM(O24:P24)</f>
        <v>368925.6963902401</v>
      </c>
    </row>
  </sheetData>
  <mergeCells count="23">
    <mergeCell ref="O1:P1"/>
    <mergeCell ref="O2:Q2"/>
    <mergeCell ref="B4:B8"/>
    <mergeCell ref="C4:C8"/>
    <mergeCell ref="L4:L8"/>
    <mergeCell ref="M4:M8"/>
    <mergeCell ref="N4:N8"/>
    <mergeCell ref="O18:Q18"/>
    <mergeCell ref="B10:B11"/>
    <mergeCell ref="C10:C11"/>
    <mergeCell ref="L10:L11"/>
    <mergeCell ref="M10:M11"/>
    <mergeCell ref="N10:N11"/>
    <mergeCell ref="B12:B15"/>
    <mergeCell ref="C12:C15"/>
    <mergeCell ref="L12:L15"/>
    <mergeCell ref="M12:M15"/>
    <mergeCell ref="N12:N15"/>
    <mergeCell ref="B16:B17"/>
    <mergeCell ref="C16:C17"/>
    <mergeCell ref="L16:L17"/>
    <mergeCell ref="M16:M17"/>
    <mergeCell ref="N16:N17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4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24"/>
  <sheetViews>
    <sheetView view="pageBreakPreview" topLeftCell="B3" zoomScale="70" zoomScaleNormal="70" zoomScaleSheetLayoutView="70" workbookViewId="0">
      <selection activeCell="G4" sqref="G4"/>
    </sheetView>
  </sheetViews>
  <sheetFormatPr baseColWidth="10" defaultRowHeight="15"/>
  <cols>
    <col min="1" max="1" width="3.7109375" customWidth="1"/>
    <col min="2" max="2" width="22.42578125" style="4" customWidth="1"/>
    <col min="3" max="3" width="19.28515625" style="65" customWidth="1"/>
    <col min="4" max="4" width="7" style="4" customWidth="1"/>
    <col min="5" max="5" width="46.7109375" style="1" customWidth="1"/>
    <col min="6" max="6" width="22.140625" style="11" customWidth="1"/>
    <col min="7" max="7" width="18.5703125" style="1" bestFit="1" customWidth="1"/>
    <col min="8" max="9" width="20.5703125" style="1" customWidth="1"/>
    <col min="10" max="10" width="26" style="1" customWidth="1"/>
    <col min="11" max="12" width="20.5703125" style="1" customWidth="1"/>
    <col min="13" max="15" width="20.5703125" style="65" hidden="1" customWidth="1"/>
    <col min="16" max="18" width="20.5703125" style="65" customWidth="1"/>
    <col min="19" max="19" width="20" style="1" hidden="1" customWidth="1"/>
    <col min="20" max="20" width="18.7109375" style="1" bestFit="1" customWidth="1"/>
    <col min="21" max="21" width="18.85546875" style="161" bestFit="1" customWidth="1"/>
    <col min="22" max="22" width="15" style="1" bestFit="1" customWidth="1"/>
    <col min="23" max="24" width="11.42578125" style="1"/>
    <col min="25" max="25" width="18.7109375" style="1" bestFit="1" customWidth="1"/>
    <col min="26" max="16384" width="11.42578125" style="1"/>
  </cols>
  <sheetData>
    <row r="1" spans="2:27" ht="15.75" thickBot="1">
      <c r="P1" s="440"/>
      <c r="Q1" s="440"/>
      <c r="R1" s="325"/>
    </row>
    <row r="2" spans="2:27" ht="35.25" customHeight="1" thickBot="1">
      <c r="B2" s="271" t="s">
        <v>115</v>
      </c>
      <c r="P2" s="453" t="s">
        <v>116</v>
      </c>
      <c r="Q2" s="454"/>
      <c r="R2" s="455"/>
    </row>
    <row r="3" spans="2:27" ht="71.25" customHeight="1" thickBot="1">
      <c r="B3" s="204" t="s">
        <v>48</v>
      </c>
      <c r="C3" s="121" t="s">
        <v>87</v>
      </c>
      <c r="D3" s="27" t="s">
        <v>49</v>
      </c>
      <c r="E3" s="26" t="s">
        <v>5</v>
      </c>
      <c r="F3" s="25" t="s">
        <v>25</v>
      </c>
      <c r="G3" s="25" t="s">
        <v>67</v>
      </c>
      <c r="H3" s="25" t="s">
        <v>27</v>
      </c>
      <c r="I3" s="25" t="s">
        <v>79</v>
      </c>
      <c r="J3" s="25" t="s">
        <v>81</v>
      </c>
      <c r="K3" s="52" t="s">
        <v>30</v>
      </c>
      <c r="L3" s="52" t="s">
        <v>109</v>
      </c>
      <c r="M3" s="121" t="s">
        <v>104</v>
      </c>
      <c r="N3" s="121" t="s">
        <v>105</v>
      </c>
      <c r="O3" s="326" t="s">
        <v>71</v>
      </c>
      <c r="P3" s="326" t="s">
        <v>108</v>
      </c>
      <c r="Q3" s="142" t="s">
        <v>107</v>
      </c>
      <c r="R3" s="143" t="s">
        <v>84</v>
      </c>
      <c r="S3" s="52" t="s">
        <v>100</v>
      </c>
      <c r="T3" s="52" t="s">
        <v>106</v>
      </c>
    </row>
    <row r="4" spans="2:27" ht="34.5" customHeight="1">
      <c r="B4" s="447" t="s">
        <v>19</v>
      </c>
      <c r="C4" s="449">
        <v>816040</v>
      </c>
      <c r="D4" s="21">
        <v>1</v>
      </c>
      <c r="E4" s="353" t="s">
        <v>35</v>
      </c>
      <c r="F4" s="14" t="s">
        <v>31</v>
      </c>
      <c r="G4" s="15">
        <v>57040</v>
      </c>
      <c r="H4" s="15">
        <v>57040</v>
      </c>
      <c r="I4" s="15">
        <f>H4*1.21</f>
        <v>69018.399999999994</v>
      </c>
      <c r="J4" s="168">
        <f>I4*0.6</f>
        <v>41411.039999999994</v>
      </c>
      <c r="K4" s="53">
        <v>50.9</v>
      </c>
      <c r="L4" s="337" t="s">
        <v>111</v>
      </c>
      <c r="M4" s="432">
        <f>N4-C4</f>
        <v>204010</v>
      </c>
      <c r="N4" s="432">
        <f>C4*100/80</f>
        <v>1020050</v>
      </c>
      <c r="O4" s="434">
        <f>SUM(J4:J8)</f>
        <v>314747.01257999998</v>
      </c>
      <c r="P4" s="180"/>
      <c r="Q4" s="181"/>
      <c r="R4" s="182"/>
      <c r="S4" s="304"/>
      <c r="T4" s="304"/>
    </row>
    <row r="5" spans="2:27" ht="34.5" customHeight="1">
      <c r="B5" s="451"/>
      <c r="C5" s="452"/>
      <c r="D5" s="22">
        <v>2</v>
      </c>
      <c r="E5" s="275" t="s">
        <v>34</v>
      </c>
      <c r="F5" s="10" t="s">
        <v>32</v>
      </c>
      <c r="G5" s="9">
        <v>57040</v>
      </c>
      <c r="H5" s="9">
        <v>57040</v>
      </c>
      <c r="I5" s="9">
        <f t="shared" ref="I5:I17" si="0">H5*1.21</f>
        <v>69018.399999999994</v>
      </c>
      <c r="J5" s="169">
        <f t="shared" ref="J5:J15" si="1">I5*0.6</f>
        <v>41411.039999999994</v>
      </c>
      <c r="K5" s="54">
        <v>49.8</v>
      </c>
      <c r="L5" s="338" t="s">
        <v>112</v>
      </c>
      <c r="M5" s="438"/>
      <c r="N5" s="438"/>
      <c r="O5" s="439"/>
      <c r="P5" s="183"/>
      <c r="Q5" s="184"/>
      <c r="R5" s="185"/>
      <c r="S5" s="305"/>
      <c r="T5" s="305"/>
    </row>
    <row r="6" spans="2:27" ht="47.25" customHeight="1">
      <c r="B6" s="451"/>
      <c r="C6" s="452"/>
      <c r="D6" s="22">
        <v>3</v>
      </c>
      <c r="E6" s="275" t="s">
        <v>36</v>
      </c>
      <c r="F6" s="10" t="s">
        <v>33</v>
      </c>
      <c r="G6" s="9">
        <v>84158.12</v>
      </c>
      <c r="H6" s="9">
        <v>84158.12</v>
      </c>
      <c r="I6" s="9">
        <f t="shared" si="0"/>
        <v>101831.32519999999</v>
      </c>
      <c r="J6" s="169">
        <f t="shared" si="1"/>
        <v>61098.795119999995</v>
      </c>
      <c r="K6" s="54">
        <v>35.1</v>
      </c>
      <c r="L6" s="338" t="s">
        <v>113</v>
      </c>
      <c r="M6" s="438"/>
      <c r="N6" s="438"/>
      <c r="O6" s="439"/>
      <c r="P6" s="183"/>
      <c r="Q6" s="184"/>
      <c r="R6" s="185"/>
      <c r="S6" s="57"/>
      <c r="T6" s="57"/>
    </row>
    <row r="7" spans="2:27" ht="48.75" customHeight="1">
      <c r="B7" s="451"/>
      <c r="C7" s="452"/>
      <c r="D7" s="206">
        <v>4</v>
      </c>
      <c r="E7" s="207" t="s">
        <v>1</v>
      </c>
      <c r="F7" s="208" t="s">
        <v>43</v>
      </c>
      <c r="G7" s="209">
        <v>199545.68</v>
      </c>
      <c r="H7" s="209">
        <v>199545.68</v>
      </c>
      <c r="I7" s="209">
        <f t="shared" si="0"/>
        <v>241450.27279999998</v>
      </c>
      <c r="J7" s="210">
        <f t="shared" si="1"/>
        <v>144870.16367999997</v>
      </c>
      <c r="K7" s="229">
        <v>51.6</v>
      </c>
      <c r="L7" s="351" t="s">
        <v>76</v>
      </c>
      <c r="M7" s="438"/>
      <c r="N7" s="438"/>
      <c r="O7" s="439"/>
      <c r="P7" s="211">
        <f>J7*0.8</f>
        <v>115896.13094399997</v>
      </c>
      <c r="Q7" s="212">
        <f>J7*0.2</f>
        <v>28974.032735999994</v>
      </c>
      <c r="R7" s="213">
        <f t="shared" ref="R7:R12" si="2">P7+Q7</f>
        <v>144870.16367999997</v>
      </c>
      <c r="S7" s="307">
        <f t="shared" ref="S7:S12" si="3">R7/I7</f>
        <v>0.6</v>
      </c>
      <c r="T7" s="307">
        <f>R7/J7</f>
        <v>1</v>
      </c>
      <c r="V7" s="37"/>
    </row>
    <row r="8" spans="2:27" ht="77.25" customHeight="1" thickBot="1">
      <c r="B8" s="448"/>
      <c r="C8" s="450"/>
      <c r="D8" s="221">
        <v>5</v>
      </c>
      <c r="E8" s="222" t="s">
        <v>6</v>
      </c>
      <c r="F8" s="223" t="s">
        <v>42</v>
      </c>
      <c r="G8" s="272">
        <v>93305.79</v>
      </c>
      <c r="H8" s="272">
        <v>35752.03</v>
      </c>
      <c r="I8" s="272">
        <f t="shared" si="0"/>
        <v>43259.956299999998</v>
      </c>
      <c r="J8" s="224">
        <f t="shared" si="1"/>
        <v>25955.973779999997</v>
      </c>
      <c r="K8" s="273">
        <v>68</v>
      </c>
      <c r="L8" s="336" t="s">
        <v>110</v>
      </c>
      <c r="M8" s="433"/>
      <c r="N8" s="433"/>
      <c r="O8" s="435"/>
      <c r="P8" s="289">
        <f>J8*0.8</f>
        <v>20764.779023999999</v>
      </c>
      <c r="Q8" s="290">
        <f>J8*0.2</f>
        <v>5191.1947559999999</v>
      </c>
      <c r="R8" s="291">
        <f t="shared" si="2"/>
        <v>25955.97378</v>
      </c>
      <c r="S8" s="310">
        <f t="shared" si="3"/>
        <v>0.60000000000000009</v>
      </c>
      <c r="T8" s="310">
        <f t="shared" ref="T8:T17" si="4">R8/J8</f>
        <v>1.0000000000000002</v>
      </c>
      <c r="V8" s="37"/>
    </row>
    <row r="9" spans="2:27" ht="34.5" customHeight="1" thickBot="1">
      <c r="B9" s="205" t="s">
        <v>114</v>
      </c>
      <c r="C9" s="231">
        <v>440510</v>
      </c>
      <c r="D9" s="217">
        <v>6</v>
      </c>
      <c r="E9" s="218" t="s">
        <v>7</v>
      </c>
      <c r="F9" s="219" t="s">
        <v>94</v>
      </c>
      <c r="G9" s="220">
        <v>106591.21</v>
      </c>
      <c r="H9" s="220">
        <v>106591.21</v>
      </c>
      <c r="I9" s="220">
        <f t="shared" si="0"/>
        <v>128975.36410000001</v>
      </c>
      <c r="J9" s="220">
        <f t="shared" si="1"/>
        <v>77385.218460000004</v>
      </c>
      <c r="K9" s="228">
        <v>33.299999999999997</v>
      </c>
      <c r="L9" s="345" t="s">
        <v>110</v>
      </c>
      <c r="M9" s="75">
        <f>N9-C9</f>
        <v>110127.5</v>
      </c>
      <c r="N9" s="75">
        <f t="shared" ref="N9:N20" si="5">C9*100/80</f>
        <v>550637.5</v>
      </c>
      <c r="O9" s="123">
        <f>J9</f>
        <v>77385.218460000004</v>
      </c>
      <c r="P9" s="289">
        <f>J9*0.8</f>
        <v>61908.174768000004</v>
      </c>
      <c r="Q9" s="290">
        <f>J9*0.2</f>
        <v>15477.043692000001</v>
      </c>
      <c r="R9" s="291">
        <f t="shared" si="2"/>
        <v>77385.218460000004</v>
      </c>
      <c r="S9" s="311">
        <f t="shared" si="3"/>
        <v>0.6</v>
      </c>
      <c r="T9" s="311">
        <f t="shared" si="4"/>
        <v>1</v>
      </c>
      <c r="V9" s="37"/>
    </row>
    <row r="10" spans="2:27" ht="34.5" customHeight="1">
      <c r="B10" s="447" t="s">
        <v>21</v>
      </c>
      <c r="C10" s="449">
        <v>65000</v>
      </c>
      <c r="D10" s="236">
        <v>7</v>
      </c>
      <c r="E10" s="237" t="s">
        <v>8</v>
      </c>
      <c r="F10" s="327" t="s">
        <v>40</v>
      </c>
      <c r="G10" s="239">
        <v>1458385.9</v>
      </c>
      <c r="H10" s="239">
        <v>147104.44</v>
      </c>
      <c r="I10" s="239">
        <f t="shared" si="0"/>
        <v>177996.37239999999</v>
      </c>
      <c r="J10" s="239">
        <f t="shared" si="1"/>
        <v>106797.82343999999</v>
      </c>
      <c r="K10" s="328">
        <v>52.6</v>
      </c>
      <c r="L10" s="352" t="s">
        <v>76</v>
      </c>
      <c r="M10" s="456">
        <f>N10-C10</f>
        <v>16250</v>
      </c>
      <c r="N10" s="456">
        <f t="shared" si="5"/>
        <v>81250</v>
      </c>
      <c r="O10" s="458">
        <f>SUM(J10:J11)</f>
        <v>1126847.8234399999</v>
      </c>
      <c r="P10" s="329">
        <f>C10*0.095</f>
        <v>6175</v>
      </c>
      <c r="Q10" s="233">
        <v>9844.67</v>
      </c>
      <c r="R10" s="234">
        <f t="shared" si="2"/>
        <v>16019.67</v>
      </c>
      <c r="S10" s="331">
        <f t="shared" si="3"/>
        <v>8.9999980246788444E-2</v>
      </c>
      <c r="T10" s="331">
        <f t="shared" si="4"/>
        <v>0.14999996707798074</v>
      </c>
      <c r="V10" s="37"/>
    </row>
    <row r="11" spans="2:27" ht="34.5" customHeight="1" thickBot="1">
      <c r="B11" s="448"/>
      <c r="C11" s="450"/>
      <c r="D11" s="221">
        <v>8</v>
      </c>
      <c r="E11" s="222" t="s">
        <v>9</v>
      </c>
      <c r="F11" s="223" t="s">
        <v>39</v>
      </c>
      <c r="G11" s="224">
        <v>2976464.92</v>
      </c>
      <c r="H11" s="224">
        <v>2976464.92</v>
      </c>
      <c r="I11" s="224">
        <f t="shared" si="0"/>
        <v>3601522.5532</v>
      </c>
      <c r="J11" s="224">
        <v>1020050</v>
      </c>
      <c r="K11" s="227">
        <v>85.1</v>
      </c>
      <c r="L11" s="344" t="s">
        <v>110</v>
      </c>
      <c r="M11" s="457" t="e">
        <f t="shared" ref="M11:M17" si="6">L11*100/80</f>
        <v>#VALUE!</v>
      </c>
      <c r="N11" s="457">
        <f t="shared" si="5"/>
        <v>0</v>
      </c>
      <c r="O11" s="459"/>
      <c r="P11" s="225">
        <f>C10*0.905</f>
        <v>58825</v>
      </c>
      <c r="Q11" s="226">
        <f>94182.5+1543.6</f>
        <v>95726.1</v>
      </c>
      <c r="R11" s="291">
        <f t="shared" si="2"/>
        <v>154551.1</v>
      </c>
      <c r="S11" s="330">
        <f t="shared" si="3"/>
        <v>4.2912711975850136E-2</v>
      </c>
      <c r="T11" s="309">
        <f t="shared" si="4"/>
        <v>0.15151325915396305</v>
      </c>
      <c r="V11" s="37"/>
      <c r="Y11" s="117"/>
      <c r="AA11" s="161"/>
    </row>
    <row r="12" spans="2:27" ht="49.5" customHeight="1">
      <c r="B12" s="447" t="s">
        <v>22</v>
      </c>
      <c r="C12" s="449">
        <v>104346</v>
      </c>
      <c r="D12" s="236">
        <v>9</v>
      </c>
      <c r="E12" s="237" t="s">
        <v>10</v>
      </c>
      <c r="F12" s="238" t="s">
        <v>38</v>
      </c>
      <c r="G12" s="239">
        <v>1049897.1299999999</v>
      </c>
      <c r="H12" s="239">
        <v>1049897.1299999999</v>
      </c>
      <c r="I12" s="239">
        <f t="shared" si="0"/>
        <v>1270375.5272999997</v>
      </c>
      <c r="J12" s="239">
        <f t="shared" si="1"/>
        <v>762225.31637999986</v>
      </c>
      <c r="K12" s="235">
        <v>80.5</v>
      </c>
      <c r="L12" s="346" t="s">
        <v>110</v>
      </c>
      <c r="M12" s="432">
        <f>N12-C12</f>
        <v>26086.5</v>
      </c>
      <c r="N12" s="432">
        <f t="shared" si="5"/>
        <v>130432.5</v>
      </c>
      <c r="O12" s="434">
        <f>SUM(J12:J15)</f>
        <v>1026059.1105599998</v>
      </c>
      <c r="P12" s="232">
        <f>C12*0.865</f>
        <v>90259.29</v>
      </c>
      <c r="Q12" s="233">
        <f>24074.51+1153.45</f>
        <v>25227.96</v>
      </c>
      <c r="R12" s="234">
        <f t="shared" si="2"/>
        <v>115487.25</v>
      </c>
      <c r="S12" s="308">
        <f t="shared" si="3"/>
        <v>9.0907961872857795E-2</v>
      </c>
      <c r="T12" s="308">
        <f t="shared" si="4"/>
        <v>0.15151326978809634</v>
      </c>
      <c r="V12" s="37"/>
      <c r="AA12" s="161"/>
    </row>
    <row r="13" spans="2:27" ht="34.5" customHeight="1">
      <c r="B13" s="451"/>
      <c r="C13" s="452"/>
      <c r="D13" s="22">
        <v>10</v>
      </c>
      <c r="E13" s="275" t="s">
        <v>55</v>
      </c>
      <c r="F13" s="10" t="s">
        <v>37</v>
      </c>
      <c r="G13" s="9">
        <v>79638.350000000006</v>
      </c>
      <c r="H13" s="9">
        <v>79638.350000000006</v>
      </c>
      <c r="I13" s="9">
        <f t="shared" si="0"/>
        <v>96362.4035</v>
      </c>
      <c r="J13" s="9">
        <f t="shared" si="1"/>
        <v>57817.4421</v>
      </c>
      <c r="K13" s="54">
        <v>35.4</v>
      </c>
      <c r="L13" s="338" t="s">
        <v>112</v>
      </c>
      <c r="M13" s="438" t="e">
        <f t="shared" si="6"/>
        <v>#VALUE!</v>
      </c>
      <c r="N13" s="438">
        <f t="shared" si="5"/>
        <v>0</v>
      </c>
      <c r="O13" s="439"/>
      <c r="P13" s="193"/>
      <c r="Q13" s="194"/>
      <c r="R13" s="195"/>
      <c r="S13" s="306"/>
      <c r="T13" s="332"/>
      <c r="V13" s="37"/>
    </row>
    <row r="14" spans="2:27" ht="45.75" customHeight="1">
      <c r="B14" s="451"/>
      <c r="C14" s="452"/>
      <c r="D14" s="22">
        <v>11</v>
      </c>
      <c r="E14" s="275" t="s">
        <v>54</v>
      </c>
      <c r="F14" s="10" t="s">
        <v>44</v>
      </c>
      <c r="G14" s="9">
        <v>119804.82</v>
      </c>
      <c r="H14" s="9">
        <v>119804.82</v>
      </c>
      <c r="I14" s="9">
        <f t="shared" si="0"/>
        <v>144963.8322</v>
      </c>
      <c r="J14" s="9">
        <f t="shared" si="1"/>
        <v>86978.299320000006</v>
      </c>
      <c r="K14" s="54">
        <v>39.700000000000003</v>
      </c>
      <c r="L14" s="338" t="s">
        <v>111</v>
      </c>
      <c r="M14" s="438" t="e">
        <f t="shared" si="6"/>
        <v>#VALUE!</v>
      </c>
      <c r="N14" s="438">
        <f t="shared" si="5"/>
        <v>0</v>
      </c>
      <c r="O14" s="439"/>
      <c r="P14" s="297"/>
      <c r="Q14" s="298"/>
      <c r="R14" s="188"/>
      <c r="S14" s="57"/>
      <c r="T14" s="313"/>
      <c r="V14" s="37"/>
    </row>
    <row r="15" spans="2:27" ht="51.75" customHeight="1" thickBot="1">
      <c r="B15" s="448"/>
      <c r="C15" s="450"/>
      <c r="D15" s="221">
        <v>12</v>
      </c>
      <c r="E15" s="222" t="s">
        <v>12</v>
      </c>
      <c r="F15" s="223" t="s">
        <v>45</v>
      </c>
      <c r="G15" s="272">
        <v>163964.26</v>
      </c>
      <c r="H15" s="272">
        <v>163964.26</v>
      </c>
      <c r="I15" s="272">
        <f t="shared" si="0"/>
        <v>198396.75460000001</v>
      </c>
      <c r="J15" s="272">
        <f t="shared" si="1"/>
        <v>119038.05276000001</v>
      </c>
      <c r="K15" s="300">
        <v>77</v>
      </c>
      <c r="L15" s="356" t="s">
        <v>76</v>
      </c>
      <c r="M15" s="433" t="e">
        <f t="shared" si="6"/>
        <v>#VALUE!</v>
      </c>
      <c r="N15" s="433">
        <f t="shared" si="5"/>
        <v>0</v>
      </c>
      <c r="O15" s="435"/>
      <c r="P15" s="225">
        <f>13.5%*C12</f>
        <v>14086.710000000001</v>
      </c>
      <c r="Q15" s="226">
        <v>3769</v>
      </c>
      <c r="R15" s="296">
        <f>P15+Q15</f>
        <v>17855.71</v>
      </c>
      <c r="S15" s="309">
        <f>R15/I15</f>
        <v>9.0000010514284884E-2</v>
      </c>
      <c r="T15" s="309">
        <f t="shared" si="4"/>
        <v>0.15000001752380815</v>
      </c>
      <c r="V15" s="37"/>
    </row>
    <row r="16" spans="2:27" ht="34.5" customHeight="1">
      <c r="B16" s="447" t="s">
        <v>24</v>
      </c>
      <c r="C16" s="449">
        <v>371264</v>
      </c>
      <c r="D16" s="236">
        <v>14</v>
      </c>
      <c r="E16" s="237" t="s">
        <v>13</v>
      </c>
      <c r="F16" s="238" t="s">
        <v>47</v>
      </c>
      <c r="G16" s="239">
        <v>53719</v>
      </c>
      <c r="H16" s="239">
        <v>53719</v>
      </c>
      <c r="I16" s="239">
        <f t="shared" si="0"/>
        <v>64999.99</v>
      </c>
      <c r="J16" s="239">
        <f>I16*0.6</f>
        <v>38999.993999999999</v>
      </c>
      <c r="K16" s="240">
        <v>35.5</v>
      </c>
      <c r="L16" s="347" t="s">
        <v>110</v>
      </c>
      <c r="M16" s="432">
        <f>N16-C16</f>
        <v>92816</v>
      </c>
      <c r="N16" s="432">
        <f t="shared" si="5"/>
        <v>464080</v>
      </c>
      <c r="O16" s="434">
        <f>J16+J17</f>
        <v>98999.994000000006</v>
      </c>
      <c r="P16" s="232">
        <f>J16*0.8</f>
        <v>31199.995200000001</v>
      </c>
      <c r="Q16" s="233">
        <f>J16*0.2</f>
        <v>7799.9988000000003</v>
      </c>
      <c r="R16" s="234">
        <f>P16+Q16</f>
        <v>38999.993999999999</v>
      </c>
      <c r="S16" s="308">
        <f>R16/I16</f>
        <v>0.6</v>
      </c>
      <c r="T16" s="308">
        <f t="shared" si="4"/>
        <v>1</v>
      </c>
      <c r="V16" s="37"/>
    </row>
    <row r="17" spans="2:22" ht="34.5" customHeight="1" thickBot="1">
      <c r="B17" s="448"/>
      <c r="C17" s="450"/>
      <c r="D17" s="221">
        <v>15</v>
      </c>
      <c r="E17" s="320" t="s">
        <v>14</v>
      </c>
      <c r="F17" s="321" t="s">
        <v>47</v>
      </c>
      <c r="G17" s="322">
        <v>407437.24</v>
      </c>
      <c r="H17" s="322">
        <v>272726.55</v>
      </c>
      <c r="I17" s="322">
        <f t="shared" si="0"/>
        <v>329999.12549999997</v>
      </c>
      <c r="J17" s="322">
        <v>60000</v>
      </c>
      <c r="K17" s="299">
        <v>34.6</v>
      </c>
      <c r="L17" s="357" t="s">
        <v>76</v>
      </c>
      <c r="M17" s="433" t="e">
        <f t="shared" si="6"/>
        <v>#VALUE!</v>
      </c>
      <c r="N17" s="433">
        <f t="shared" si="5"/>
        <v>0</v>
      </c>
      <c r="O17" s="435"/>
      <c r="P17" s="225">
        <f>J17*0.8</f>
        <v>48000</v>
      </c>
      <c r="Q17" s="226">
        <f>J17*0.2</f>
        <v>12000</v>
      </c>
      <c r="R17" s="296">
        <f>P17+Q17</f>
        <v>60000</v>
      </c>
      <c r="S17" s="307">
        <f>R17/I17</f>
        <v>0.18181866363764049</v>
      </c>
      <c r="T17" s="307">
        <f t="shared" si="4"/>
        <v>1</v>
      </c>
      <c r="V17" s="37"/>
    </row>
    <row r="18" spans="2:22" ht="48" customHeight="1" thickBot="1">
      <c r="B18" s="205" t="s">
        <v>23</v>
      </c>
      <c r="C18" s="231">
        <v>492445</v>
      </c>
      <c r="D18" s="24">
        <v>13</v>
      </c>
      <c r="E18" s="355" t="s">
        <v>0</v>
      </c>
      <c r="F18" s="18" t="s">
        <v>46</v>
      </c>
      <c r="G18" s="19">
        <v>157680.5</v>
      </c>
      <c r="H18" s="19">
        <v>157680.5</v>
      </c>
      <c r="I18" s="19">
        <f>H18*1.21</f>
        <v>190793.405</v>
      </c>
      <c r="J18" s="19">
        <f>I18*0.6</f>
        <v>114476.04299999999</v>
      </c>
      <c r="K18" s="192" t="s">
        <v>77</v>
      </c>
      <c r="L18" s="343" t="s">
        <v>77</v>
      </c>
      <c r="M18" s="323">
        <f>N18-C18</f>
        <v>123111.25</v>
      </c>
      <c r="N18" s="323">
        <f t="shared" si="5"/>
        <v>615556.25</v>
      </c>
      <c r="O18" s="324">
        <f>J18</f>
        <v>114476.04299999999</v>
      </c>
      <c r="P18" s="444" t="s">
        <v>103</v>
      </c>
      <c r="Q18" s="445"/>
      <c r="R18" s="446"/>
      <c r="S18" s="192" t="s">
        <v>77</v>
      </c>
      <c r="T18" s="192" t="s">
        <v>77</v>
      </c>
    </row>
    <row r="19" spans="2:22" ht="30" customHeight="1" thickBot="1">
      <c r="C19" s="119"/>
      <c r="F19" s="120"/>
      <c r="G19" s="119"/>
      <c r="H19" s="119"/>
      <c r="I19" s="119"/>
      <c r="J19" s="119"/>
      <c r="K19" s="350"/>
      <c r="L19" s="293" t="s">
        <v>63</v>
      </c>
      <c r="M19" s="294" t="e">
        <f>SUM(M4:M17)</f>
        <v>#VALUE!</v>
      </c>
      <c r="N19" s="294">
        <f t="shared" si="5"/>
        <v>0</v>
      </c>
      <c r="O19" s="294">
        <f>SUM(O4:O17)</f>
        <v>2644039.1590399998</v>
      </c>
      <c r="P19" s="366">
        <f>SUM(P4:P17)</f>
        <v>447115.07993599994</v>
      </c>
      <c r="Q19" s="366">
        <f t="shared" ref="Q19:R19" si="7">SUM(Q4:Q17)</f>
        <v>204009.99998399999</v>
      </c>
      <c r="R19" s="367">
        <f t="shared" si="7"/>
        <v>651125.07991999993</v>
      </c>
    </row>
    <row r="20" spans="2:22" ht="30.75" customHeight="1" thickBot="1">
      <c r="K20" s="348"/>
      <c r="L20" s="27" t="s">
        <v>97</v>
      </c>
      <c r="M20" s="286" t="e">
        <f>SUM(M5:M18)</f>
        <v>#VALUE!</v>
      </c>
      <c r="N20" s="286">
        <f t="shared" si="5"/>
        <v>0</v>
      </c>
      <c r="O20" s="286">
        <f>SUM(O5:O18)</f>
        <v>2443768.18946</v>
      </c>
      <c r="P20" s="287">
        <f>P19/R19</f>
        <v>0.68668078334647231</v>
      </c>
      <c r="Q20" s="287">
        <f>Q19/R19</f>
        <v>0.31331921665352769</v>
      </c>
      <c r="R20" s="288">
        <f>P20+Q20</f>
        <v>1</v>
      </c>
    </row>
    <row r="21" spans="2:22" ht="10.5" customHeight="1" thickBot="1">
      <c r="K21" s="349"/>
      <c r="P21" s="170"/>
      <c r="Q21" s="170"/>
      <c r="R21" s="170"/>
    </row>
    <row r="22" spans="2:22" ht="23.25" customHeight="1" thickBot="1">
      <c r="K22" s="348"/>
      <c r="L22" s="204" t="s">
        <v>98</v>
      </c>
      <c r="M22" s="281"/>
      <c r="N22" s="281"/>
      <c r="O22" s="281" t="s">
        <v>78</v>
      </c>
      <c r="P22" s="362">
        <v>816040</v>
      </c>
      <c r="Q22" s="363">
        <v>204010</v>
      </c>
      <c r="R22" s="364">
        <f>SUM(P22:Q22)</f>
        <v>1020050</v>
      </c>
    </row>
    <row r="23" spans="2:22" ht="8.25" customHeight="1" thickBot="1">
      <c r="K23" s="348"/>
      <c r="L23" s="241"/>
      <c r="M23" s="281"/>
      <c r="N23" s="281"/>
      <c r="O23" s="281"/>
      <c r="P23" s="365"/>
      <c r="Q23" s="365"/>
      <c r="R23" s="365"/>
    </row>
    <row r="24" spans="2:22" ht="23.25" customHeight="1" thickBot="1">
      <c r="K24" s="348"/>
      <c r="L24" s="204" t="s">
        <v>99</v>
      </c>
      <c r="M24" s="281"/>
      <c r="N24" s="281"/>
      <c r="O24" s="281" t="s">
        <v>78</v>
      </c>
      <c r="P24" s="362">
        <f>P22-P19</f>
        <v>368924.92006400006</v>
      </c>
      <c r="Q24" s="363">
        <f>Q22-Q19</f>
        <v>1.6000005416572094E-5</v>
      </c>
      <c r="R24" s="364">
        <f>SUM(P24:Q24)</f>
        <v>368924.92008000007</v>
      </c>
    </row>
  </sheetData>
  <mergeCells count="23">
    <mergeCell ref="P1:Q1"/>
    <mergeCell ref="P2:R2"/>
    <mergeCell ref="B4:B8"/>
    <mergeCell ref="C4:C8"/>
    <mergeCell ref="M4:M8"/>
    <mergeCell ref="N4:N8"/>
    <mergeCell ref="O4:O8"/>
    <mergeCell ref="P18:R18"/>
    <mergeCell ref="B10:B11"/>
    <mergeCell ref="C10:C11"/>
    <mergeCell ref="M10:M11"/>
    <mergeCell ref="N10:N11"/>
    <mergeCell ref="O10:O11"/>
    <mergeCell ref="B12:B15"/>
    <mergeCell ref="C12:C15"/>
    <mergeCell ref="M12:M15"/>
    <mergeCell ref="N12:N15"/>
    <mergeCell ref="O12:O15"/>
    <mergeCell ref="B16:B17"/>
    <mergeCell ref="C16:C17"/>
    <mergeCell ref="M16:M17"/>
    <mergeCell ref="N16:N17"/>
    <mergeCell ref="O16:O17"/>
  </mergeCells>
  <printOptions horizontalCentered="1"/>
  <pageMargins left="0.25" right="0.25" top="0.75" bottom="0.75" header="0.3" footer="0.3"/>
  <pageSetup paperSize="9" scale="4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24"/>
  <sheetViews>
    <sheetView view="pageBreakPreview" topLeftCell="C3" zoomScale="70" zoomScaleNormal="70" zoomScaleSheetLayoutView="70" workbookViewId="0">
      <selection activeCell="G4" sqref="G4"/>
    </sheetView>
  </sheetViews>
  <sheetFormatPr baseColWidth="10" defaultRowHeight="15"/>
  <cols>
    <col min="1" max="1" width="3.7109375" customWidth="1"/>
    <col min="2" max="2" width="22.42578125" style="4" customWidth="1"/>
    <col min="3" max="3" width="19.28515625" style="65" customWidth="1"/>
    <col min="4" max="4" width="7" style="4" customWidth="1"/>
    <col min="5" max="5" width="46.7109375" style="1" customWidth="1"/>
    <col min="6" max="6" width="22.140625" style="11" customWidth="1"/>
    <col min="7" max="7" width="18.5703125" style="1" bestFit="1" customWidth="1"/>
    <col min="8" max="9" width="20.5703125" style="1" customWidth="1"/>
    <col min="10" max="10" width="26" style="1" customWidth="1"/>
    <col min="11" max="12" width="20.5703125" style="1" customWidth="1"/>
    <col min="13" max="15" width="20.5703125" style="65" hidden="1" customWidth="1"/>
    <col min="16" max="18" width="20.5703125" style="65" customWidth="1"/>
    <col min="19" max="19" width="20" style="1" hidden="1" customWidth="1"/>
    <col min="20" max="20" width="18.7109375" style="1" bestFit="1" customWidth="1"/>
    <col min="21" max="21" width="18.85546875" style="161" bestFit="1" customWidth="1"/>
    <col min="22" max="22" width="15" style="1" bestFit="1" customWidth="1"/>
    <col min="23" max="24" width="11.42578125" style="1"/>
    <col min="25" max="25" width="18.7109375" style="1" bestFit="1" customWidth="1"/>
    <col min="26" max="16384" width="11.42578125" style="1"/>
  </cols>
  <sheetData>
    <row r="1" spans="2:27" ht="15.75" thickBot="1">
      <c r="P1" s="440"/>
      <c r="Q1" s="440"/>
      <c r="R1" s="360"/>
    </row>
    <row r="2" spans="2:27" ht="35.25" customHeight="1" thickBot="1">
      <c r="B2" s="271" t="s">
        <v>115</v>
      </c>
      <c r="P2" s="453" t="s">
        <v>116</v>
      </c>
      <c r="Q2" s="454"/>
      <c r="R2" s="455"/>
    </row>
    <row r="3" spans="2:27" ht="71.25" customHeight="1" thickBot="1">
      <c r="B3" s="204" t="s">
        <v>48</v>
      </c>
      <c r="C3" s="121" t="s">
        <v>87</v>
      </c>
      <c r="D3" s="27" t="s">
        <v>49</v>
      </c>
      <c r="E3" s="26" t="s">
        <v>5</v>
      </c>
      <c r="F3" s="25" t="s">
        <v>25</v>
      </c>
      <c r="G3" s="25" t="s">
        <v>67</v>
      </c>
      <c r="H3" s="25" t="s">
        <v>27</v>
      </c>
      <c r="I3" s="25" t="s">
        <v>120</v>
      </c>
      <c r="J3" s="25" t="s">
        <v>81</v>
      </c>
      <c r="K3" s="52" t="s">
        <v>30</v>
      </c>
      <c r="L3" s="52" t="s">
        <v>109</v>
      </c>
      <c r="M3" s="121" t="s">
        <v>104</v>
      </c>
      <c r="N3" s="121" t="s">
        <v>105</v>
      </c>
      <c r="O3" s="361" t="s">
        <v>71</v>
      </c>
      <c r="P3" s="361" t="s">
        <v>108</v>
      </c>
      <c r="Q3" s="142" t="s">
        <v>107</v>
      </c>
      <c r="R3" s="143" t="s">
        <v>84</v>
      </c>
      <c r="S3" s="52" t="s">
        <v>100</v>
      </c>
      <c r="T3" s="52" t="s">
        <v>106</v>
      </c>
    </row>
    <row r="4" spans="2:27" ht="34.5" customHeight="1">
      <c r="B4" s="447" t="s">
        <v>19</v>
      </c>
      <c r="C4" s="449">
        <v>816040</v>
      </c>
      <c r="D4" s="21">
        <v>1</v>
      </c>
      <c r="E4" s="353" t="s">
        <v>35</v>
      </c>
      <c r="F4" s="14" t="s">
        <v>31</v>
      </c>
      <c r="G4" s="15">
        <v>57040</v>
      </c>
      <c r="H4" s="15">
        <v>57040</v>
      </c>
      <c r="I4" s="15">
        <f>H4*1.21</f>
        <v>69018.399999999994</v>
      </c>
      <c r="J4" s="168">
        <f>I4*0.6</f>
        <v>41411.039999999994</v>
      </c>
      <c r="K4" s="53">
        <v>50.9</v>
      </c>
      <c r="L4" s="337" t="s">
        <v>111</v>
      </c>
      <c r="M4" s="432">
        <f>N4-C4</f>
        <v>204010</v>
      </c>
      <c r="N4" s="432">
        <f>C4*100/80</f>
        <v>1020050</v>
      </c>
      <c r="O4" s="434">
        <f>SUM(J4:J8)</f>
        <v>354731.03423999995</v>
      </c>
      <c r="P4" s="180"/>
      <c r="Q4" s="181"/>
      <c r="R4" s="182"/>
      <c r="S4" s="304"/>
      <c r="T4" s="304"/>
    </row>
    <row r="5" spans="2:27" ht="34.5" customHeight="1">
      <c r="B5" s="451"/>
      <c r="C5" s="452"/>
      <c r="D5" s="22">
        <v>2</v>
      </c>
      <c r="E5" s="275" t="s">
        <v>34</v>
      </c>
      <c r="F5" s="10" t="s">
        <v>32</v>
      </c>
      <c r="G5" s="9">
        <v>57040</v>
      </c>
      <c r="H5" s="9">
        <v>57040</v>
      </c>
      <c r="I5" s="9">
        <f t="shared" ref="I5:I17" si="0">H5*1.21</f>
        <v>69018.399999999994</v>
      </c>
      <c r="J5" s="169">
        <f t="shared" ref="J5:J15" si="1">I5*0.6</f>
        <v>41411.039999999994</v>
      </c>
      <c r="K5" s="54">
        <v>49.8</v>
      </c>
      <c r="L5" s="338" t="s">
        <v>112</v>
      </c>
      <c r="M5" s="438"/>
      <c r="N5" s="438"/>
      <c r="O5" s="439"/>
      <c r="P5" s="183"/>
      <c r="Q5" s="184"/>
      <c r="R5" s="185"/>
      <c r="S5" s="305"/>
      <c r="T5" s="305"/>
    </row>
    <row r="6" spans="2:27" ht="47.25" customHeight="1">
      <c r="B6" s="451"/>
      <c r="C6" s="452"/>
      <c r="D6" s="22">
        <v>3</v>
      </c>
      <c r="E6" s="275" t="s">
        <v>36</v>
      </c>
      <c r="F6" s="10" t="s">
        <v>33</v>
      </c>
      <c r="G6" s="9">
        <v>84158.12</v>
      </c>
      <c r="H6" s="9">
        <v>84158.12</v>
      </c>
      <c r="I6" s="9">
        <f t="shared" si="0"/>
        <v>101831.32519999999</v>
      </c>
      <c r="J6" s="169">
        <f t="shared" si="1"/>
        <v>61098.795119999995</v>
      </c>
      <c r="K6" s="54">
        <v>35.1</v>
      </c>
      <c r="L6" s="338" t="s">
        <v>113</v>
      </c>
      <c r="M6" s="438"/>
      <c r="N6" s="438"/>
      <c r="O6" s="439"/>
      <c r="P6" s="183"/>
      <c r="Q6" s="184"/>
      <c r="R6" s="185"/>
      <c r="S6" s="57"/>
      <c r="T6" s="57"/>
    </row>
    <row r="7" spans="2:27" ht="48.75" customHeight="1">
      <c r="B7" s="451"/>
      <c r="C7" s="452"/>
      <c r="D7" s="206">
        <v>4</v>
      </c>
      <c r="E7" s="207" t="s">
        <v>1</v>
      </c>
      <c r="F7" s="208" t="s">
        <v>43</v>
      </c>
      <c r="G7" s="209">
        <v>199545.68</v>
      </c>
      <c r="H7" s="209">
        <v>199545.68</v>
      </c>
      <c r="I7" s="209">
        <f t="shared" si="0"/>
        <v>241450.27279999998</v>
      </c>
      <c r="J7" s="210">
        <f t="shared" si="1"/>
        <v>144870.16367999997</v>
      </c>
      <c r="K7" s="229">
        <v>51.6</v>
      </c>
      <c r="L7" s="351" t="s">
        <v>76</v>
      </c>
      <c r="M7" s="438"/>
      <c r="N7" s="438"/>
      <c r="O7" s="439"/>
      <c r="P7" s="211">
        <f>J7*0.8</f>
        <v>115896.13094399997</v>
      </c>
      <c r="Q7" s="212">
        <f>J7*0.2</f>
        <v>28974.032735999994</v>
      </c>
      <c r="R7" s="213">
        <f t="shared" ref="R7:R12" si="2">P7+Q7</f>
        <v>144870.16367999997</v>
      </c>
      <c r="S7" s="307">
        <f t="shared" ref="S7:S12" si="3">R7/I7</f>
        <v>0.6</v>
      </c>
      <c r="T7" s="307">
        <f>R7/J7</f>
        <v>1</v>
      </c>
      <c r="V7" s="37"/>
    </row>
    <row r="8" spans="2:27" ht="77.25" customHeight="1" thickBot="1">
      <c r="B8" s="448"/>
      <c r="C8" s="450"/>
      <c r="D8" s="221">
        <v>5</v>
      </c>
      <c r="E8" s="222" t="s">
        <v>6</v>
      </c>
      <c r="F8" s="223" t="s">
        <v>42</v>
      </c>
      <c r="G8" s="272">
        <v>93305.79</v>
      </c>
      <c r="H8" s="272">
        <v>90826.44</v>
      </c>
      <c r="I8" s="272">
        <f t="shared" si="0"/>
        <v>109899.9924</v>
      </c>
      <c r="J8" s="224">
        <f t="shared" si="1"/>
        <v>65939.995439999999</v>
      </c>
      <c r="K8" s="273">
        <v>68</v>
      </c>
      <c r="L8" s="336" t="s">
        <v>110</v>
      </c>
      <c r="M8" s="433"/>
      <c r="N8" s="433"/>
      <c r="O8" s="435"/>
      <c r="P8" s="289">
        <f>J8*0.8</f>
        <v>52751.996352000002</v>
      </c>
      <c r="Q8" s="290">
        <f>J8*0.2</f>
        <v>13187.999088</v>
      </c>
      <c r="R8" s="291">
        <f t="shared" si="2"/>
        <v>65939.995439999999</v>
      </c>
      <c r="S8" s="310">
        <f t="shared" si="3"/>
        <v>0.6</v>
      </c>
      <c r="T8" s="310">
        <f t="shared" ref="T8:T17" si="4">R8/J8</f>
        <v>1</v>
      </c>
      <c r="U8" s="385" t="s">
        <v>119</v>
      </c>
      <c r="V8" s="37"/>
    </row>
    <row r="9" spans="2:27" ht="34.5" customHeight="1" thickBot="1">
      <c r="B9" s="205" t="s">
        <v>114</v>
      </c>
      <c r="C9" s="231">
        <v>440510</v>
      </c>
      <c r="D9" s="217">
        <v>6</v>
      </c>
      <c r="E9" s="218" t="s">
        <v>7</v>
      </c>
      <c r="F9" s="219" t="s">
        <v>94</v>
      </c>
      <c r="G9" s="220">
        <v>106591.21</v>
      </c>
      <c r="H9" s="220">
        <v>106591.21</v>
      </c>
      <c r="I9" s="220">
        <f t="shared" si="0"/>
        <v>128975.36410000001</v>
      </c>
      <c r="J9" s="220">
        <f t="shared" si="1"/>
        <v>77385.218460000004</v>
      </c>
      <c r="K9" s="228">
        <v>33.299999999999997</v>
      </c>
      <c r="L9" s="345" t="s">
        <v>110</v>
      </c>
      <c r="M9" s="75">
        <f>N9-C9</f>
        <v>110127.5</v>
      </c>
      <c r="N9" s="75">
        <f t="shared" ref="N9:N20" si="5">C9*100/80</f>
        <v>550637.5</v>
      </c>
      <c r="O9" s="123">
        <f>J9</f>
        <v>77385.218460000004</v>
      </c>
      <c r="P9" s="289">
        <f>J9*0.8</f>
        <v>61908.174768000004</v>
      </c>
      <c r="Q9" s="290">
        <f>J9*0.2</f>
        <v>15477.043692000001</v>
      </c>
      <c r="R9" s="291">
        <f t="shared" si="2"/>
        <v>77385.218460000004</v>
      </c>
      <c r="S9" s="311">
        <f t="shared" si="3"/>
        <v>0.6</v>
      </c>
      <c r="T9" s="311">
        <f t="shared" si="4"/>
        <v>1</v>
      </c>
      <c r="V9" s="37"/>
    </row>
    <row r="10" spans="2:27" ht="34.5" customHeight="1">
      <c r="B10" s="447" t="s">
        <v>21</v>
      </c>
      <c r="C10" s="449">
        <v>65000</v>
      </c>
      <c r="D10" s="236">
        <v>7</v>
      </c>
      <c r="E10" s="237" t="s">
        <v>8</v>
      </c>
      <c r="F10" s="327" t="s">
        <v>40</v>
      </c>
      <c r="G10" s="239">
        <v>1458385.9</v>
      </c>
      <c r="H10" s="239">
        <v>147104.44</v>
      </c>
      <c r="I10" s="239">
        <f t="shared" si="0"/>
        <v>177996.37239999999</v>
      </c>
      <c r="J10" s="239">
        <f t="shared" si="1"/>
        <v>106797.82343999999</v>
      </c>
      <c r="K10" s="328">
        <v>52.6</v>
      </c>
      <c r="L10" s="352" t="s">
        <v>76</v>
      </c>
      <c r="M10" s="456">
        <f>N10-C10</f>
        <v>16250</v>
      </c>
      <c r="N10" s="456">
        <f t="shared" si="5"/>
        <v>81250</v>
      </c>
      <c r="O10" s="458">
        <f>SUM(J10:J11)</f>
        <v>1126847.8234399999</v>
      </c>
      <c r="P10" s="329">
        <f>C10*0.095</f>
        <v>6175</v>
      </c>
      <c r="Q10" s="233">
        <v>9844.67</v>
      </c>
      <c r="R10" s="234">
        <f t="shared" si="2"/>
        <v>16019.67</v>
      </c>
      <c r="S10" s="331">
        <f t="shared" si="3"/>
        <v>8.9999980246788444E-2</v>
      </c>
      <c r="T10" s="331">
        <f t="shared" si="4"/>
        <v>0.14999996707798074</v>
      </c>
      <c r="V10" s="37"/>
    </row>
    <row r="11" spans="2:27" ht="34.5" customHeight="1" thickBot="1">
      <c r="B11" s="448"/>
      <c r="C11" s="450"/>
      <c r="D11" s="221">
        <v>8</v>
      </c>
      <c r="E11" s="222" t="s">
        <v>9</v>
      </c>
      <c r="F11" s="223" t="s">
        <v>39</v>
      </c>
      <c r="G11" s="224">
        <v>2976464.92</v>
      </c>
      <c r="H11" s="224">
        <v>2976464.92</v>
      </c>
      <c r="I11" s="224">
        <f t="shared" si="0"/>
        <v>3601522.5532</v>
      </c>
      <c r="J11" s="224">
        <v>1020050</v>
      </c>
      <c r="K11" s="227">
        <v>85.1</v>
      </c>
      <c r="L11" s="344" t="s">
        <v>110</v>
      </c>
      <c r="M11" s="457" t="e">
        <f t="shared" ref="M11:M17" si="6">L11*100/80</f>
        <v>#VALUE!</v>
      </c>
      <c r="N11" s="457">
        <f t="shared" si="5"/>
        <v>0</v>
      </c>
      <c r="O11" s="459"/>
      <c r="P11" s="225">
        <f>C10*0.905</f>
        <v>58825</v>
      </c>
      <c r="Q11" s="226">
        <f>94182.5+1543.6</f>
        <v>95726.1</v>
      </c>
      <c r="R11" s="291">
        <f t="shared" si="2"/>
        <v>154551.1</v>
      </c>
      <c r="S11" s="330">
        <f t="shared" si="3"/>
        <v>4.2912711975850136E-2</v>
      </c>
      <c r="T11" s="309">
        <f t="shared" si="4"/>
        <v>0.15151325915396305</v>
      </c>
      <c r="V11" s="37"/>
      <c r="Y11" s="117"/>
      <c r="AA11" s="161"/>
    </row>
    <row r="12" spans="2:27" ht="49.5" customHeight="1">
      <c r="B12" s="447" t="s">
        <v>22</v>
      </c>
      <c r="C12" s="449">
        <v>104346</v>
      </c>
      <c r="D12" s="236">
        <v>9</v>
      </c>
      <c r="E12" s="237" t="s">
        <v>10</v>
      </c>
      <c r="F12" s="238" t="s">
        <v>38</v>
      </c>
      <c r="G12" s="239">
        <v>1049897.1299999999</v>
      </c>
      <c r="H12" s="239">
        <v>1049897.1299999999</v>
      </c>
      <c r="I12" s="239">
        <f t="shared" si="0"/>
        <v>1270375.5272999997</v>
      </c>
      <c r="J12" s="239">
        <f t="shared" si="1"/>
        <v>762225.31637999986</v>
      </c>
      <c r="K12" s="235">
        <v>77.5</v>
      </c>
      <c r="L12" s="384" t="s">
        <v>110</v>
      </c>
      <c r="M12" s="432">
        <f>N12-C12</f>
        <v>26086.5</v>
      </c>
      <c r="N12" s="432">
        <f t="shared" si="5"/>
        <v>130432.5</v>
      </c>
      <c r="O12" s="434">
        <f>SUM(J12:J15)</f>
        <v>1026059.1105599998</v>
      </c>
      <c r="P12" s="232">
        <f>C12*0.865</f>
        <v>90259.29</v>
      </c>
      <c r="Q12" s="233">
        <f>24074.51+1153.45</f>
        <v>25227.96</v>
      </c>
      <c r="R12" s="234">
        <f t="shared" si="2"/>
        <v>115487.25</v>
      </c>
      <c r="S12" s="308">
        <f t="shared" si="3"/>
        <v>9.0907961872857795E-2</v>
      </c>
      <c r="T12" s="308">
        <f t="shared" si="4"/>
        <v>0.15151326978809634</v>
      </c>
      <c r="V12" s="37"/>
      <c r="AA12" s="161"/>
    </row>
    <row r="13" spans="2:27" ht="34.5" customHeight="1">
      <c r="B13" s="451"/>
      <c r="C13" s="452"/>
      <c r="D13" s="22">
        <v>10</v>
      </c>
      <c r="E13" s="275" t="s">
        <v>55</v>
      </c>
      <c r="F13" s="10" t="s">
        <v>37</v>
      </c>
      <c r="G13" s="9">
        <v>79638.350000000006</v>
      </c>
      <c r="H13" s="9">
        <v>79638.350000000006</v>
      </c>
      <c r="I13" s="9">
        <f t="shared" si="0"/>
        <v>96362.4035</v>
      </c>
      <c r="J13" s="9">
        <f t="shared" si="1"/>
        <v>57817.4421</v>
      </c>
      <c r="K13" s="54">
        <v>35.4</v>
      </c>
      <c r="L13" s="338" t="s">
        <v>112</v>
      </c>
      <c r="M13" s="438" t="e">
        <f t="shared" si="6"/>
        <v>#VALUE!</v>
      </c>
      <c r="N13" s="438">
        <f t="shared" si="5"/>
        <v>0</v>
      </c>
      <c r="O13" s="439"/>
      <c r="P13" s="193"/>
      <c r="Q13" s="194"/>
      <c r="R13" s="195"/>
      <c r="S13" s="306"/>
      <c r="T13" s="332"/>
      <c r="V13" s="37"/>
    </row>
    <row r="14" spans="2:27" ht="45.75" customHeight="1">
      <c r="B14" s="451"/>
      <c r="C14" s="452"/>
      <c r="D14" s="22">
        <v>11</v>
      </c>
      <c r="E14" s="275" t="s">
        <v>54</v>
      </c>
      <c r="F14" s="10" t="s">
        <v>44</v>
      </c>
      <c r="G14" s="9">
        <v>119804.82</v>
      </c>
      <c r="H14" s="9">
        <v>119804.82</v>
      </c>
      <c r="I14" s="9">
        <f t="shared" si="0"/>
        <v>144963.8322</v>
      </c>
      <c r="J14" s="9">
        <f t="shared" si="1"/>
        <v>86978.299320000006</v>
      </c>
      <c r="K14" s="54">
        <v>39.700000000000003</v>
      </c>
      <c r="L14" s="338" t="s">
        <v>111</v>
      </c>
      <c r="M14" s="438" t="e">
        <f t="shared" si="6"/>
        <v>#VALUE!</v>
      </c>
      <c r="N14" s="438">
        <f t="shared" si="5"/>
        <v>0</v>
      </c>
      <c r="O14" s="439"/>
      <c r="P14" s="297"/>
      <c r="Q14" s="298"/>
      <c r="R14" s="188"/>
      <c r="S14" s="57"/>
      <c r="T14" s="313"/>
      <c r="V14" s="37"/>
    </row>
    <row r="15" spans="2:27" ht="51.75" customHeight="1" thickBot="1">
      <c r="B15" s="448"/>
      <c r="C15" s="450"/>
      <c r="D15" s="221">
        <v>12</v>
      </c>
      <c r="E15" s="222" t="s">
        <v>12</v>
      </c>
      <c r="F15" s="223" t="s">
        <v>45</v>
      </c>
      <c r="G15" s="272">
        <v>163964.26</v>
      </c>
      <c r="H15" s="272">
        <v>163964.26</v>
      </c>
      <c r="I15" s="272">
        <f t="shared" si="0"/>
        <v>198396.75460000001</v>
      </c>
      <c r="J15" s="272">
        <f t="shared" si="1"/>
        <v>119038.05276000001</v>
      </c>
      <c r="K15" s="300">
        <v>79</v>
      </c>
      <c r="L15" s="383" t="s">
        <v>110</v>
      </c>
      <c r="M15" s="433" t="e">
        <f t="shared" si="6"/>
        <v>#VALUE!</v>
      </c>
      <c r="N15" s="433">
        <f t="shared" si="5"/>
        <v>0</v>
      </c>
      <c r="O15" s="435"/>
      <c r="P15" s="225">
        <f>13.5%*C12</f>
        <v>14086.710000000001</v>
      </c>
      <c r="Q15" s="226">
        <v>3769</v>
      </c>
      <c r="R15" s="296">
        <f>P15+Q15</f>
        <v>17855.71</v>
      </c>
      <c r="S15" s="309">
        <f>R15/I15</f>
        <v>9.0000010514284884E-2</v>
      </c>
      <c r="T15" s="309">
        <f t="shared" si="4"/>
        <v>0.15000001752380815</v>
      </c>
      <c r="V15" s="37"/>
    </row>
    <row r="16" spans="2:27" ht="34.5" customHeight="1">
      <c r="B16" s="447" t="s">
        <v>24</v>
      </c>
      <c r="C16" s="449">
        <v>371264</v>
      </c>
      <c r="D16" s="381">
        <v>14</v>
      </c>
      <c r="E16" s="372" t="s">
        <v>13</v>
      </c>
      <c r="F16" s="373" t="s">
        <v>47</v>
      </c>
      <c r="G16" s="374">
        <v>53719</v>
      </c>
      <c r="H16" s="374">
        <v>53719</v>
      </c>
      <c r="I16" s="374">
        <f t="shared" si="0"/>
        <v>64999.99</v>
      </c>
      <c r="J16" s="374">
        <f>I16*0.6</f>
        <v>38999.993999999999</v>
      </c>
      <c r="K16" s="375">
        <v>31.5</v>
      </c>
      <c r="L16" s="376" t="s">
        <v>76</v>
      </c>
      <c r="M16" s="432">
        <f>N16-C16</f>
        <v>92816</v>
      </c>
      <c r="N16" s="432">
        <f t="shared" si="5"/>
        <v>464080</v>
      </c>
      <c r="O16" s="434">
        <f>J16+J17</f>
        <v>98999.994000000006</v>
      </c>
      <c r="P16" s="377"/>
      <c r="Q16" s="378"/>
      <c r="R16" s="379"/>
      <c r="S16" s="308">
        <f>R16/I16</f>
        <v>0</v>
      </c>
      <c r="T16" s="380"/>
      <c r="V16" s="37"/>
    </row>
    <row r="17" spans="2:22" ht="34.5" customHeight="1" thickBot="1">
      <c r="B17" s="448"/>
      <c r="C17" s="450"/>
      <c r="D17" s="221">
        <v>15</v>
      </c>
      <c r="E17" s="320" t="s">
        <v>118</v>
      </c>
      <c r="F17" s="321" t="s">
        <v>47</v>
      </c>
      <c r="G17" s="322">
        <v>407437.24</v>
      </c>
      <c r="H17" s="322">
        <v>272726.55</v>
      </c>
      <c r="I17" s="322">
        <f t="shared" si="0"/>
        <v>329999.12549999997</v>
      </c>
      <c r="J17" s="322">
        <v>60000</v>
      </c>
      <c r="K17" s="299">
        <v>36.6</v>
      </c>
      <c r="L17" s="382" t="s">
        <v>110</v>
      </c>
      <c r="M17" s="433" t="e">
        <f t="shared" si="6"/>
        <v>#VALUE!</v>
      </c>
      <c r="N17" s="433">
        <f t="shared" si="5"/>
        <v>0</v>
      </c>
      <c r="O17" s="435"/>
      <c r="P17" s="225">
        <f>J17*0.8</f>
        <v>48000</v>
      </c>
      <c r="Q17" s="226">
        <f>J17*0.2</f>
        <v>12000</v>
      </c>
      <c r="R17" s="296">
        <f>P17+Q17</f>
        <v>60000</v>
      </c>
      <c r="S17" s="307">
        <f>R17/I17</f>
        <v>0.18181866363764049</v>
      </c>
      <c r="T17" s="307">
        <f t="shared" si="4"/>
        <v>1</v>
      </c>
      <c r="V17" s="37"/>
    </row>
    <row r="18" spans="2:22" ht="48" customHeight="1" thickBot="1">
      <c r="B18" s="205" t="s">
        <v>23</v>
      </c>
      <c r="C18" s="231">
        <v>492445</v>
      </c>
      <c r="D18" s="24">
        <v>13</v>
      </c>
      <c r="E18" s="355" t="s">
        <v>0</v>
      </c>
      <c r="F18" s="18" t="s">
        <v>46</v>
      </c>
      <c r="G18" s="19">
        <v>157680.5</v>
      </c>
      <c r="H18" s="19">
        <v>157680.5</v>
      </c>
      <c r="I18" s="19">
        <f>H18*1.21</f>
        <v>190793.405</v>
      </c>
      <c r="J18" s="19">
        <f>I18*0.6</f>
        <v>114476.04299999999</v>
      </c>
      <c r="K18" s="192" t="s">
        <v>77</v>
      </c>
      <c r="L18" s="343" t="s">
        <v>77</v>
      </c>
      <c r="M18" s="358">
        <f>N18-C18</f>
        <v>123111.25</v>
      </c>
      <c r="N18" s="358">
        <f t="shared" si="5"/>
        <v>615556.25</v>
      </c>
      <c r="O18" s="359">
        <f>J18</f>
        <v>114476.04299999999</v>
      </c>
      <c r="P18" s="444" t="s">
        <v>103</v>
      </c>
      <c r="Q18" s="445"/>
      <c r="R18" s="446"/>
      <c r="S18" s="192" t="s">
        <v>77</v>
      </c>
      <c r="T18" s="192" t="s">
        <v>77</v>
      </c>
    </row>
    <row r="19" spans="2:22" ht="30" customHeight="1" thickBot="1">
      <c r="C19" s="119"/>
      <c r="F19" s="120"/>
      <c r="G19" s="119"/>
      <c r="H19" s="119"/>
      <c r="I19" s="119"/>
      <c r="J19" s="119"/>
      <c r="K19" s="350"/>
      <c r="L19" s="293" t="s">
        <v>63</v>
      </c>
      <c r="M19" s="294" t="e">
        <f>SUM(M4:M17)</f>
        <v>#VALUE!</v>
      </c>
      <c r="N19" s="294">
        <f t="shared" si="5"/>
        <v>0</v>
      </c>
      <c r="O19" s="294">
        <f>SUM(O4:O17)</f>
        <v>2684023.1806999999</v>
      </c>
      <c r="P19" s="366">
        <f>SUM(P4:P17)</f>
        <v>447902.30206399993</v>
      </c>
      <c r="Q19" s="366">
        <f t="shared" ref="Q19:R19" si="7">SUM(Q4:Q17)</f>
        <v>204206.80551599999</v>
      </c>
      <c r="R19" s="367">
        <f t="shared" si="7"/>
        <v>652109.10757999995</v>
      </c>
    </row>
    <row r="20" spans="2:22" ht="30.75" customHeight="1" thickBot="1">
      <c r="K20" s="348"/>
      <c r="L20" s="27" t="s">
        <v>97</v>
      </c>
      <c r="M20" s="286" t="e">
        <f>SUM(M5:M18)</f>
        <v>#VALUE!</v>
      </c>
      <c r="N20" s="286">
        <f t="shared" si="5"/>
        <v>0</v>
      </c>
      <c r="O20" s="286">
        <f>SUM(O5:O18)</f>
        <v>2443768.18946</v>
      </c>
      <c r="P20" s="287">
        <f>P19/R19</f>
        <v>0.68685178117843082</v>
      </c>
      <c r="Q20" s="287">
        <f>Q19/R19</f>
        <v>0.31314821882156912</v>
      </c>
      <c r="R20" s="288">
        <f>P20+Q20</f>
        <v>1</v>
      </c>
    </row>
    <row r="21" spans="2:22" ht="10.5" customHeight="1" thickBot="1">
      <c r="K21" s="349"/>
      <c r="P21" s="170"/>
      <c r="Q21" s="170"/>
      <c r="R21" s="170"/>
    </row>
    <row r="22" spans="2:22" ht="23.25" customHeight="1" thickBot="1">
      <c r="K22" s="348"/>
      <c r="L22" s="204" t="s">
        <v>98</v>
      </c>
      <c r="M22" s="281"/>
      <c r="N22" s="281"/>
      <c r="O22" s="281" t="s">
        <v>78</v>
      </c>
      <c r="P22" s="362">
        <v>816040</v>
      </c>
      <c r="Q22" s="363">
        <v>204010</v>
      </c>
      <c r="R22" s="364">
        <f>SUM(P22:Q22)</f>
        <v>1020050</v>
      </c>
    </row>
    <row r="23" spans="2:22" ht="8.25" customHeight="1" thickBot="1">
      <c r="K23" s="348"/>
      <c r="L23" s="241"/>
      <c r="M23" s="281"/>
      <c r="N23" s="281"/>
      <c r="O23" s="281"/>
      <c r="P23" s="365"/>
      <c r="Q23" s="365"/>
      <c r="R23" s="365"/>
    </row>
    <row r="24" spans="2:22" ht="23.25" customHeight="1" thickBot="1">
      <c r="K24" s="348"/>
      <c r="L24" s="204" t="s">
        <v>99</v>
      </c>
      <c r="M24" s="281"/>
      <c r="N24" s="281"/>
      <c r="O24" s="281" t="s">
        <v>78</v>
      </c>
      <c r="P24" s="362">
        <f>P22-P19</f>
        <v>368137.69793600007</v>
      </c>
      <c r="Q24" s="363">
        <f>Q22-Q19</f>
        <v>-196.80551599999308</v>
      </c>
      <c r="R24" s="364">
        <f>SUM(P24:Q24)</f>
        <v>367940.89242000005</v>
      </c>
    </row>
  </sheetData>
  <mergeCells count="23">
    <mergeCell ref="P1:Q1"/>
    <mergeCell ref="P2:R2"/>
    <mergeCell ref="B4:B8"/>
    <mergeCell ref="C4:C8"/>
    <mergeCell ref="M4:M8"/>
    <mergeCell ref="N4:N8"/>
    <mergeCell ref="O4:O8"/>
    <mergeCell ref="P18:R18"/>
    <mergeCell ref="B10:B11"/>
    <mergeCell ref="C10:C11"/>
    <mergeCell ref="M10:M11"/>
    <mergeCell ref="N10:N11"/>
    <mergeCell ref="O10:O11"/>
    <mergeCell ref="B12:B15"/>
    <mergeCell ref="C12:C15"/>
    <mergeCell ref="M12:M15"/>
    <mergeCell ref="N12:N15"/>
    <mergeCell ref="O12:O15"/>
    <mergeCell ref="B16:B17"/>
    <mergeCell ref="C16:C17"/>
    <mergeCell ref="M16:M17"/>
    <mergeCell ref="N16:N17"/>
    <mergeCell ref="O16:O17"/>
  </mergeCells>
  <printOptions horizontalCentered="1"/>
  <pageMargins left="0.25" right="0.25" top="0.75" bottom="0.75" header="0.3" footer="0.3"/>
  <pageSetup paperSize="9" scale="4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24"/>
  <sheetViews>
    <sheetView view="pageBreakPreview" topLeftCell="C1" zoomScale="70" zoomScaleNormal="70" zoomScaleSheetLayoutView="70" workbookViewId="0">
      <selection activeCell="H13" sqref="H13"/>
    </sheetView>
  </sheetViews>
  <sheetFormatPr baseColWidth="10" defaultRowHeight="15"/>
  <cols>
    <col min="1" max="1" width="3.7109375" customWidth="1"/>
    <col min="2" max="2" width="15.85546875" style="4" customWidth="1"/>
    <col min="3" max="3" width="19.28515625" style="65" customWidth="1"/>
    <col min="4" max="4" width="7" style="4" customWidth="1"/>
    <col min="5" max="5" width="46.7109375" style="1" customWidth="1"/>
    <col min="6" max="6" width="22.140625" style="11" customWidth="1"/>
    <col min="7" max="7" width="17" style="1" customWidth="1"/>
    <col min="8" max="8" width="18.140625" style="1" customWidth="1"/>
    <col min="9" max="9" width="16.5703125" style="1" customWidth="1"/>
    <col min="10" max="10" width="9.42578125" style="386" customWidth="1"/>
    <col min="11" max="11" width="17.7109375" style="1" customWidth="1"/>
    <col min="12" max="12" width="16.7109375" style="1" customWidth="1"/>
    <col min="13" max="15" width="20.5703125" style="65" hidden="1" customWidth="1"/>
    <col min="16" max="17" width="20.5703125" style="65" customWidth="1"/>
    <col min="18" max="18" width="21.5703125" style="65" customWidth="1"/>
    <col min="19" max="19" width="20" style="1" hidden="1" customWidth="1"/>
    <col min="20" max="20" width="16.85546875" style="1" customWidth="1"/>
    <col min="21" max="21" width="17.28515625" style="161" customWidth="1"/>
    <col min="22" max="22" width="17.28515625" style="1" bestFit="1" customWidth="1"/>
    <col min="23" max="23" width="16.42578125" style="1" bestFit="1" customWidth="1"/>
    <col min="24" max="24" width="11.42578125" style="1"/>
    <col min="25" max="25" width="18.7109375" style="1" bestFit="1" customWidth="1"/>
    <col min="26" max="16384" width="11.42578125" style="1"/>
  </cols>
  <sheetData>
    <row r="1" spans="2:27" ht="15.75" thickBot="1">
      <c r="P1" s="440"/>
      <c r="Q1" s="440"/>
      <c r="R1" s="368"/>
    </row>
    <row r="2" spans="2:27" ht="35.25" customHeight="1" thickBot="1">
      <c r="B2" s="271" t="s">
        <v>126</v>
      </c>
      <c r="I2" s="117"/>
      <c r="K2" s="117"/>
      <c r="P2" s="453" t="s">
        <v>116</v>
      </c>
      <c r="Q2" s="454"/>
      <c r="R2" s="455"/>
    </row>
    <row r="3" spans="2:27" ht="71.25" customHeight="1" thickBot="1">
      <c r="B3" s="204" t="s">
        <v>48</v>
      </c>
      <c r="C3" s="121" t="s">
        <v>87</v>
      </c>
      <c r="D3" s="27" t="s">
        <v>49</v>
      </c>
      <c r="E3" s="26" t="s">
        <v>5</v>
      </c>
      <c r="F3" s="25" t="s">
        <v>25</v>
      </c>
      <c r="G3" s="25" t="s">
        <v>127</v>
      </c>
      <c r="H3" s="25" t="s">
        <v>125</v>
      </c>
      <c r="I3" s="460" t="s">
        <v>122</v>
      </c>
      <c r="J3" s="461"/>
      <c r="K3" s="52" t="s">
        <v>30</v>
      </c>
      <c r="L3" s="52" t="s">
        <v>109</v>
      </c>
      <c r="M3" s="121" t="s">
        <v>104</v>
      </c>
      <c r="N3" s="121" t="s">
        <v>105</v>
      </c>
      <c r="O3" s="371" t="s">
        <v>71</v>
      </c>
      <c r="P3" s="371" t="s">
        <v>108</v>
      </c>
      <c r="Q3" s="142" t="s">
        <v>107</v>
      </c>
      <c r="R3" s="143" t="s">
        <v>84</v>
      </c>
      <c r="S3" s="52" t="s">
        <v>100</v>
      </c>
      <c r="T3" s="52" t="s">
        <v>106</v>
      </c>
      <c r="U3" s="52" t="s">
        <v>124</v>
      </c>
    </row>
    <row r="4" spans="2:27" ht="34.5" customHeight="1">
      <c r="B4" s="447" t="s">
        <v>19</v>
      </c>
      <c r="C4" s="449">
        <v>816040</v>
      </c>
      <c r="D4" s="21">
        <v>1</v>
      </c>
      <c r="E4" s="353" t="s">
        <v>35</v>
      </c>
      <c r="F4" s="14" t="s">
        <v>31</v>
      </c>
      <c r="G4" s="374" t="e">
        <f>#REF!/1.21</f>
        <v>#REF!</v>
      </c>
      <c r="H4" s="374" t="e">
        <f>#REF!/1.21</f>
        <v>#REF!</v>
      </c>
      <c r="I4" s="388" t="e">
        <f>H4*0.6</f>
        <v>#REF!</v>
      </c>
      <c r="J4" s="389">
        <v>0.6</v>
      </c>
      <c r="K4" s="53">
        <v>50.9</v>
      </c>
      <c r="L4" s="337" t="s">
        <v>111</v>
      </c>
      <c r="M4" s="432">
        <f>N4-C4</f>
        <v>204010</v>
      </c>
      <c r="N4" s="432">
        <f>C4*100/80</f>
        <v>1020050</v>
      </c>
      <c r="O4" s="434" t="e">
        <f>SUM(I4:I8)</f>
        <v>#REF!</v>
      </c>
      <c r="P4" s="180"/>
      <c r="Q4" s="181"/>
      <c r="R4" s="182"/>
      <c r="S4" s="304"/>
      <c r="T4" s="304"/>
      <c r="U4" s="449" t="e">
        <f>R8+R7</f>
        <v>#REF!</v>
      </c>
    </row>
    <row r="5" spans="2:27" ht="34.5" customHeight="1">
      <c r="B5" s="451"/>
      <c r="C5" s="452"/>
      <c r="D5" s="22">
        <v>2</v>
      </c>
      <c r="E5" s="275" t="s">
        <v>34</v>
      </c>
      <c r="F5" s="10" t="s">
        <v>32</v>
      </c>
      <c r="G5" s="390" t="e">
        <f>#REF!/1.21</f>
        <v>#REF!</v>
      </c>
      <c r="H5" s="391" t="e">
        <f>#REF!/1.21</f>
        <v>#REF!</v>
      </c>
      <c r="I5" s="391" t="e">
        <f t="shared" ref="I5:I10" si="0">H5*0.6</f>
        <v>#REF!</v>
      </c>
      <c r="J5" s="392">
        <v>0.6</v>
      </c>
      <c r="K5" s="54">
        <v>49.8</v>
      </c>
      <c r="L5" s="338" t="s">
        <v>112</v>
      </c>
      <c r="M5" s="438"/>
      <c r="N5" s="438"/>
      <c r="O5" s="439"/>
      <c r="P5" s="183"/>
      <c r="Q5" s="184"/>
      <c r="R5" s="185"/>
      <c r="S5" s="305"/>
      <c r="T5" s="305"/>
      <c r="U5" s="452"/>
    </row>
    <row r="6" spans="2:27" ht="47.25" customHeight="1">
      <c r="B6" s="451"/>
      <c r="C6" s="452"/>
      <c r="D6" s="22">
        <v>3</v>
      </c>
      <c r="E6" s="275" t="s">
        <v>36</v>
      </c>
      <c r="F6" s="10" t="s">
        <v>33</v>
      </c>
      <c r="G6" s="391" t="e">
        <f>#REF!/1.21</f>
        <v>#REF!</v>
      </c>
      <c r="H6" s="391" t="e">
        <f>#REF!/1.21</f>
        <v>#REF!</v>
      </c>
      <c r="I6" s="391" t="e">
        <f t="shared" si="0"/>
        <v>#REF!</v>
      </c>
      <c r="J6" s="392">
        <v>0.6</v>
      </c>
      <c r="K6" s="54">
        <v>35.1</v>
      </c>
      <c r="L6" s="338" t="s">
        <v>113</v>
      </c>
      <c r="M6" s="438"/>
      <c r="N6" s="438"/>
      <c r="O6" s="439"/>
      <c r="P6" s="183"/>
      <c r="Q6" s="184"/>
      <c r="R6" s="185"/>
      <c r="S6" s="57"/>
      <c r="T6" s="57"/>
      <c r="U6" s="452"/>
    </row>
    <row r="7" spans="2:27" ht="48.75" customHeight="1">
      <c r="B7" s="451"/>
      <c r="C7" s="452"/>
      <c r="D7" s="206">
        <v>4</v>
      </c>
      <c r="E7" s="207" t="s">
        <v>1</v>
      </c>
      <c r="F7" s="208" t="s">
        <v>43</v>
      </c>
      <c r="G7" s="209" t="e">
        <f>#REF!/1.21</f>
        <v>#REF!</v>
      </c>
      <c r="H7" s="209" t="e">
        <f>#REF!/1.21</f>
        <v>#REF!</v>
      </c>
      <c r="I7" s="209" t="e">
        <f t="shared" si="0"/>
        <v>#REF!</v>
      </c>
      <c r="J7" s="397">
        <v>0.6</v>
      </c>
      <c r="K7" s="229">
        <v>51.6</v>
      </c>
      <c r="L7" s="351" t="s">
        <v>76</v>
      </c>
      <c r="M7" s="438"/>
      <c r="N7" s="438"/>
      <c r="O7" s="439"/>
      <c r="P7" s="211" t="e">
        <f>I7*0.8</f>
        <v>#REF!</v>
      </c>
      <c r="Q7" s="212" t="e">
        <f>I7*0.2</f>
        <v>#REF!</v>
      </c>
      <c r="R7" s="213" t="e">
        <f t="shared" ref="R7:R9" si="1">SUM(P7:Q7)</f>
        <v>#REF!</v>
      </c>
      <c r="S7" s="307" t="e">
        <f t="shared" ref="S7:S12" si="2">R7/H7</f>
        <v>#REF!</v>
      </c>
      <c r="T7" s="307" t="e">
        <f>R7/I7</f>
        <v>#REF!</v>
      </c>
      <c r="U7" s="452"/>
      <c r="V7" s="37"/>
    </row>
    <row r="8" spans="2:27" ht="77.25" customHeight="1" thickBot="1">
      <c r="B8" s="448"/>
      <c r="C8" s="450"/>
      <c r="D8" s="221">
        <v>5</v>
      </c>
      <c r="E8" s="222" t="s">
        <v>129</v>
      </c>
      <c r="F8" s="223" t="s">
        <v>42</v>
      </c>
      <c r="G8" s="272" t="e">
        <f>#REF!/1.21</f>
        <v>#REF!</v>
      </c>
      <c r="H8" s="272" t="e">
        <f>#REF!/1.21</f>
        <v>#REF!</v>
      </c>
      <c r="I8" s="322" t="e">
        <f t="shared" si="0"/>
        <v>#REF!</v>
      </c>
      <c r="J8" s="398">
        <v>0.6</v>
      </c>
      <c r="K8" s="273">
        <v>68</v>
      </c>
      <c r="L8" s="336" t="s">
        <v>110</v>
      </c>
      <c r="M8" s="433"/>
      <c r="N8" s="433"/>
      <c r="O8" s="435"/>
      <c r="P8" s="289" t="e">
        <f>I8*0.8</f>
        <v>#REF!</v>
      </c>
      <c r="Q8" s="290" t="e">
        <f>I8*0.2</f>
        <v>#REF!</v>
      </c>
      <c r="R8" s="291" t="e">
        <f t="shared" si="1"/>
        <v>#REF!</v>
      </c>
      <c r="S8" s="310" t="e">
        <f t="shared" si="2"/>
        <v>#REF!</v>
      </c>
      <c r="T8" s="310" t="e">
        <f t="shared" ref="T8:T17" si="3">R8/I8</f>
        <v>#REF!</v>
      </c>
      <c r="U8" s="450"/>
    </row>
    <row r="9" spans="2:27" ht="34.5" customHeight="1" thickBot="1">
      <c r="B9" s="205" t="s">
        <v>114</v>
      </c>
      <c r="C9" s="231">
        <v>440510</v>
      </c>
      <c r="D9" s="217">
        <v>6</v>
      </c>
      <c r="E9" s="218" t="s">
        <v>7</v>
      </c>
      <c r="F9" s="219" t="s">
        <v>94</v>
      </c>
      <c r="G9" s="220" t="e">
        <f>#REF!/1.21</f>
        <v>#REF!</v>
      </c>
      <c r="H9" s="220" t="e">
        <f>#REF!/1.21</f>
        <v>#REF!</v>
      </c>
      <c r="I9" s="220" t="e">
        <f t="shared" si="0"/>
        <v>#REF!</v>
      </c>
      <c r="J9" s="399">
        <v>0.6</v>
      </c>
      <c r="K9" s="228">
        <v>33.299999999999997</v>
      </c>
      <c r="L9" s="345" t="s">
        <v>110</v>
      </c>
      <c r="M9" s="75">
        <f>N9-C9</f>
        <v>110127.5</v>
      </c>
      <c r="N9" s="75">
        <f t="shared" ref="N9:N20" si="4">C9*100/80</f>
        <v>550637.5</v>
      </c>
      <c r="O9" s="123" t="e">
        <f>I9</f>
        <v>#REF!</v>
      </c>
      <c r="P9" s="289" t="e">
        <f>I9*0.8</f>
        <v>#REF!</v>
      </c>
      <c r="Q9" s="290" t="e">
        <f>I9*0.2</f>
        <v>#REF!</v>
      </c>
      <c r="R9" s="291" t="e">
        <f t="shared" si="1"/>
        <v>#REF!</v>
      </c>
      <c r="S9" s="311" t="e">
        <f t="shared" si="2"/>
        <v>#REF!</v>
      </c>
      <c r="T9" s="311" t="e">
        <f t="shared" si="3"/>
        <v>#REF!</v>
      </c>
      <c r="U9" s="231" t="e">
        <f>R9</f>
        <v>#REF!</v>
      </c>
      <c r="V9" s="37"/>
    </row>
    <row r="10" spans="2:27" ht="34.5" customHeight="1">
      <c r="B10" s="447" t="s">
        <v>21</v>
      </c>
      <c r="C10" s="449">
        <v>65000</v>
      </c>
      <c r="D10" s="236">
        <v>7</v>
      </c>
      <c r="E10" s="237" t="s">
        <v>8</v>
      </c>
      <c r="F10" s="327" t="s">
        <v>40</v>
      </c>
      <c r="G10" s="239" t="e">
        <f>#REF!/1.21</f>
        <v>#REF!</v>
      </c>
      <c r="H10" s="239" t="e">
        <f>#REF!/1.21</f>
        <v>#REF!</v>
      </c>
      <c r="I10" s="239" t="e">
        <f t="shared" si="0"/>
        <v>#REF!</v>
      </c>
      <c r="J10" s="400">
        <v>0.6</v>
      </c>
      <c r="K10" s="328">
        <v>62.6</v>
      </c>
      <c r="L10" s="352" t="s">
        <v>76</v>
      </c>
      <c r="M10" s="456">
        <f>N10-C10</f>
        <v>16250</v>
      </c>
      <c r="N10" s="456">
        <f t="shared" si="4"/>
        <v>81250</v>
      </c>
      <c r="O10" s="458" t="e">
        <f>SUM(I10:I11)</f>
        <v>#REF!</v>
      </c>
      <c r="P10" s="329">
        <v>6175</v>
      </c>
      <c r="Q10" s="233" t="e">
        <f>R10-P10</f>
        <v>#REF!</v>
      </c>
      <c r="R10" s="234" t="e">
        <f>I10*0.18</f>
        <v>#REF!</v>
      </c>
      <c r="S10" s="331" t="e">
        <f t="shared" si="2"/>
        <v>#REF!</v>
      </c>
      <c r="T10" s="331" t="e">
        <f t="shared" si="3"/>
        <v>#REF!</v>
      </c>
      <c r="U10" s="449" t="e">
        <f>R10+R11</f>
        <v>#REF!</v>
      </c>
      <c r="V10" s="37"/>
    </row>
    <row r="11" spans="2:27" ht="34.5" customHeight="1" thickBot="1">
      <c r="B11" s="448"/>
      <c r="C11" s="450"/>
      <c r="D11" s="221">
        <v>8</v>
      </c>
      <c r="E11" s="222" t="s">
        <v>9</v>
      </c>
      <c r="F11" s="223" t="s">
        <v>39</v>
      </c>
      <c r="G11" s="224" t="e">
        <f>#REF!/1.21</f>
        <v>#REF!</v>
      </c>
      <c r="H11" s="224" t="e">
        <f>#REF!/1.21</f>
        <v>#REF!</v>
      </c>
      <c r="I11" s="224">
        <v>1020050</v>
      </c>
      <c r="J11" s="398" t="s">
        <v>123</v>
      </c>
      <c r="K11" s="227">
        <v>75.099999999999994</v>
      </c>
      <c r="L11" s="344" t="s">
        <v>110</v>
      </c>
      <c r="M11" s="457" t="e">
        <f t="shared" ref="M11:M17" si="5">L11*100/80</f>
        <v>#VALUE!</v>
      </c>
      <c r="N11" s="457">
        <f t="shared" si="4"/>
        <v>0</v>
      </c>
      <c r="O11" s="459"/>
      <c r="P11" s="225">
        <v>58825</v>
      </c>
      <c r="Q11" s="226">
        <f>R11-P11+64.09</f>
        <v>82312.005000000005</v>
      </c>
      <c r="R11" s="296">
        <f>I11*0.1383</f>
        <v>141072.91500000001</v>
      </c>
      <c r="S11" s="330" t="e">
        <f t="shared" si="2"/>
        <v>#REF!</v>
      </c>
      <c r="T11" s="309">
        <f t="shared" si="3"/>
        <v>0.13830000000000001</v>
      </c>
      <c r="U11" s="450"/>
      <c r="V11" s="37"/>
      <c r="Y11" s="117"/>
      <c r="AA11" s="161"/>
    </row>
    <row r="12" spans="2:27" ht="49.5" customHeight="1">
      <c r="B12" s="447" t="s">
        <v>22</v>
      </c>
      <c r="C12" s="449">
        <v>104346</v>
      </c>
      <c r="D12" s="236">
        <v>9</v>
      </c>
      <c r="E12" s="237" t="s">
        <v>10</v>
      </c>
      <c r="F12" s="238" t="s">
        <v>38</v>
      </c>
      <c r="G12" s="239" t="e">
        <f>#REF!/1.21</f>
        <v>#REF!</v>
      </c>
      <c r="H12" s="239" t="e">
        <f>#REF!/1.21</f>
        <v>#REF!</v>
      </c>
      <c r="I12" s="239" t="e">
        <f t="shared" ref="I12:I15" si="6">H12*0.6</f>
        <v>#REF!</v>
      </c>
      <c r="J12" s="401">
        <v>0.6</v>
      </c>
      <c r="K12" s="235">
        <v>77.5</v>
      </c>
      <c r="L12" s="384" t="s">
        <v>76</v>
      </c>
      <c r="M12" s="432">
        <f>N12-C12</f>
        <v>26086.5</v>
      </c>
      <c r="N12" s="432">
        <f t="shared" si="4"/>
        <v>130432.5</v>
      </c>
      <c r="O12" s="434" t="e">
        <f>SUM(I12:I15)</f>
        <v>#REF!</v>
      </c>
      <c r="P12" s="232" t="e">
        <f>C12-P15</f>
        <v>#REF!</v>
      </c>
      <c r="Q12" s="233" t="e">
        <f>R12-P12</f>
        <v>#REF!</v>
      </c>
      <c r="R12" s="234" t="e">
        <f>I12*0.09257611</f>
        <v>#REF!</v>
      </c>
      <c r="S12" s="308" t="e">
        <f t="shared" si="2"/>
        <v>#REF!</v>
      </c>
      <c r="T12" s="308" t="e">
        <f t="shared" si="3"/>
        <v>#REF!</v>
      </c>
      <c r="U12" s="449" t="e">
        <f>R12+R15</f>
        <v>#REF!</v>
      </c>
      <c r="V12" s="37"/>
      <c r="W12" s="117"/>
      <c r="AA12" s="161"/>
    </row>
    <row r="13" spans="2:27" ht="34.5" customHeight="1">
      <c r="B13" s="451"/>
      <c r="C13" s="452"/>
      <c r="D13" s="22">
        <v>10</v>
      </c>
      <c r="E13" s="275" t="s">
        <v>55</v>
      </c>
      <c r="F13" s="10" t="s">
        <v>37</v>
      </c>
      <c r="G13" s="391" t="e">
        <f>#REF!/1.21</f>
        <v>#REF!</v>
      </c>
      <c r="H13" s="391" t="e">
        <f>#REF!/1.21</f>
        <v>#REF!</v>
      </c>
      <c r="I13" s="391" t="e">
        <f t="shared" si="6"/>
        <v>#REF!</v>
      </c>
      <c r="J13" s="394">
        <v>0.6</v>
      </c>
      <c r="K13" s="54">
        <v>35.4</v>
      </c>
      <c r="L13" s="338" t="s">
        <v>112</v>
      </c>
      <c r="M13" s="438" t="e">
        <f t="shared" si="5"/>
        <v>#VALUE!</v>
      </c>
      <c r="N13" s="438">
        <f t="shared" si="4"/>
        <v>0</v>
      </c>
      <c r="O13" s="439"/>
      <c r="P13" s="193"/>
      <c r="Q13" s="194"/>
      <c r="R13" s="195"/>
      <c r="S13" s="306"/>
      <c r="T13" s="332"/>
      <c r="U13" s="452"/>
      <c r="V13" s="37"/>
    </row>
    <row r="14" spans="2:27" ht="45.75" customHeight="1">
      <c r="B14" s="451"/>
      <c r="C14" s="452"/>
      <c r="D14" s="22">
        <v>11</v>
      </c>
      <c r="E14" s="275" t="s">
        <v>54</v>
      </c>
      <c r="F14" s="10" t="s">
        <v>44</v>
      </c>
      <c r="G14" s="391" t="e">
        <f>#REF!/1.21</f>
        <v>#REF!</v>
      </c>
      <c r="H14" s="391" t="e">
        <f>#REF!/1.21</f>
        <v>#REF!</v>
      </c>
      <c r="I14" s="391" t="e">
        <f t="shared" si="6"/>
        <v>#REF!</v>
      </c>
      <c r="J14" s="394">
        <v>0.6</v>
      </c>
      <c r="K14" s="54">
        <v>39.700000000000003</v>
      </c>
      <c r="L14" s="338" t="s">
        <v>111</v>
      </c>
      <c r="M14" s="438" t="e">
        <f t="shared" si="5"/>
        <v>#VALUE!</v>
      </c>
      <c r="N14" s="438">
        <f t="shared" si="4"/>
        <v>0</v>
      </c>
      <c r="O14" s="439"/>
      <c r="P14" s="297"/>
      <c r="Q14" s="298"/>
      <c r="R14" s="188"/>
      <c r="S14" s="57"/>
      <c r="T14" s="313"/>
      <c r="U14" s="452"/>
      <c r="V14" s="37"/>
    </row>
    <row r="15" spans="2:27" ht="51.75" customHeight="1" thickBot="1">
      <c r="B15" s="448"/>
      <c r="C15" s="450"/>
      <c r="D15" s="221">
        <v>12</v>
      </c>
      <c r="E15" s="222" t="s">
        <v>12</v>
      </c>
      <c r="F15" s="223" t="s">
        <v>45</v>
      </c>
      <c r="G15" s="272" t="e">
        <f>#REF!/1.21</f>
        <v>#REF!</v>
      </c>
      <c r="H15" s="272" t="e">
        <f>#REF!/1.21</f>
        <v>#REF!</v>
      </c>
      <c r="I15" s="272" t="e">
        <f t="shared" si="6"/>
        <v>#REF!</v>
      </c>
      <c r="J15" s="402">
        <v>0.6</v>
      </c>
      <c r="K15" s="300">
        <v>79</v>
      </c>
      <c r="L15" s="383" t="s">
        <v>110</v>
      </c>
      <c r="M15" s="433" t="e">
        <f t="shared" si="5"/>
        <v>#VALUE!</v>
      </c>
      <c r="N15" s="433">
        <f t="shared" si="4"/>
        <v>0</v>
      </c>
      <c r="O15" s="435"/>
      <c r="P15" s="225" t="e">
        <f>I15*0.8</f>
        <v>#REF!</v>
      </c>
      <c r="Q15" s="226" t="e">
        <f>I15-P15</f>
        <v>#REF!</v>
      </c>
      <c r="R15" s="296" t="e">
        <f>SUM(P15:Q15)</f>
        <v>#REF!</v>
      </c>
      <c r="S15" s="309" t="e">
        <f>R15/H15</f>
        <v>#REF!</v>
      </c>
      <c r="T15" s="309" t="e">
        <f t="shared" si="3"/>
        <v>#REF!</v>
      </c>
      <c r="U15" s="450"/>
      <c r="V15" s="37"/>
    </row>
    <row r="16" spans="2:27" ht="34.5" customHeight="1">
      <c r="B16" s="447" t="s">
        <v>24</v>
      </c>
      <c r="C16" s="449">
        <v>371264</v>
      </c>
      <c r="D16" s="381">
        <v>14</v>
      </c>
      <c r="E16" s="372" t="s">
        <v>13</v>
      </c>
      <c r="F16" s="373" t="s">
        <v>47</v>
      </c>
      <c r="G16" s="374" t="e">
        <f>#REF!/1.21</f>
        <v>#REF!</v>
      </c>
      <c r="H16" s="374" t="e">
        <f>#REF!/1.21</f>
        <v>#REF!</v>
      </c>
      <c r="I16" s="374">
        <v>30000</v>
      </c>
      <c r="J16" s="395" t="s">
        <v>121</v>
      </c>
      <c r="K16" s="375">
        <v>31.5</v>
      </c>
      <c r="L16" s="376" t="s">
        <v>76</v>
      </c>
      <c r="M16" s="432">
        <f>N16-C16</f>
        <v>92816</v>
      </c>
      <c r="N16" s="432">
        <f t="shared" si="4"/>
        <v>464080</v>
      </c>
      <c r="O16" s="434">
        <f>I16+I17</f>
        <v>90000</v>
      </c>
      <c r="P16" s="377"/>
      <c r="Q16" s="378"/>
      <c r="R16" s="379"/>
      <c r="S16" s="308" t="e">
        <f>R16/H16</f>
        <v>#REF!</v>
      </c>
      <c r="T16" s="380"/>
      <c r="U16" s="449">
        <f>R17</f>
        <v>60000</v>
      </c>
      <c r="V16" s="37"/>
    </row>
    <row r="17" spans="2:22" ht="34.5" customHeight="1" thickBot="1">
      <c r="B17" s="448"/>
      <c r="C17" s="450"/>
      <c r="D17" s="221">
        <v>15</v>
      </c>
      <c r="E17" s="320" t="s">
        <v>118</v>
      </c>
      <c r="F17" s="321" t="s">
        <v>47</v>
      </c>
      <c r="G17" s="322" t="e">
        <f>#REF!/1.21</f>
        <v>#REF!</v>
      </c>
      <c r="H17" s="322" t="e">
        <f>#REF!/1.21</f>
        <v>#REF!</v>
      </c>
      <c r="I17" s="322">
        <v>60000</v>
      </c>
      <c r="J17" s="403" t="s">
        <v>121</v>
      </c>
      <c r="K17" s="299">
        <v>36.6</v>
      </c>
      <c r="L17" s="382" t="s">
        <v>110</v>
      </c>
      <c r="M17" s="433" t="e">
        <f t="shared" si="5"/>
        <v>#VALUE!</v>
      </c>
      <c r="N17" s="433">
        <f t="shared" si="4"/>
        <v>0</v>
      </c>
      <c r="O17" s="435"/>
      <c r="P17" s="225">
        <f>I17*0.8</f>
        <v>48000</v>
      </c>
      <c r="Q17" s="226">
        <f>I17*0.2</f>
        <v>12000</v>
      </c>
      <c r="R17" s="296">
        <f>SUM(P17:Q17)</f>
        <v>60000</v>
      </c>
      <c r="S17" s="307" t="e">
        <f>R17/H17</f>
        <v>#REF!</v>
      </c>
      <c r="T17" s="307">
        <f t="shared" si="3"/>
        <v>1</v>
      </c>
      <c r="U17" s="450"/>
      <c r="V17" s="37"/>
    </row>
    <row r="18" spans="2:22" ht="48" customHeight="1" thickBot="1">
      <c r="B18" s="205" t="s">
        <v>23</v>
      </c>
      <c r="C18" s="231">
        <v>492445</v>
      </c>
      <c r="D18" s="24">
        <v>13</v>
      </c>
      <c r="E18" s="355" t="s">
        <v>0</v>
      </c>
      <c r="F18" s="18" t="s">
        <v>46</v>
      </c>
      <c r="G18" s="393" t="e">
        <f>#REF!/1.21</f>
        <v>#REF!</v>
      </c>
      <c r="H18" s="393" t="e">
        <f>#REF!/1.21</f>
        <v>#REF!</v>
      </c>
      <c r="I18" s="393" t="e">
        <f>H18*0.6</f>
        <v>#REF!</v>
      </c>
      <c r="J18" s="396">
        <v>0.6</v>
      </c>
      <c r="K18" s="192" t="s">
        <v>77</v>
      </c>
      <c r="L18" s="343" t="s">
        <v>77</v>
      </c>
      <c r="M18" s="369">
        <f>N18-C18</f>
        <v>123111.25</v>
      </c>
      <c r="N18" s="369">
        <f t="shared" si="4"/>
        <v>615556.25</v>
      </c>
      <c r="O18" s="370" t="e">
        <f>I18</f>
        <v>#REF!</v>
      </c>
      <c r="P18" s="444" t="s">
        <v>103</v>
      </c>
      <c r="Q18" s="445"/>
      <c r="R18" s="446"/>
      <c r="S18" s="192" t="s">
        <v>77</v>
      </c>
      <c r="T18" s="192" t="s">
        <v>77</v>
      </c>
      <c r="U18" s="231" t="s">
        <v>77</v>
      </c>
    </row>
    <row r="19" spans="2:22" ht="30" customHeight="1" thickBot="1">
      <c r="C19" s="119"/>
      <c r="F19" s="120"/>
      <c r="G19" s="119"/>
      <c r="H19" s="119"/>
      <c r="I19" s="119"/>
      <c r="J19" s="387"/>
      <c r="K19" s="350"/>
      <c r="L19" s="293" t="s">
        <v>63</v>
      </c>
      <c r="M19" s="294" t="e">
        <f>SUM(M4:M17)</f>
        <v>#VALUE!</v>
      </c>
      <c r="N19" s="294">
        <f t="shared" si="4"/>
        <v>0</v>
      </c>
      <c r="O19" s="294" t="e">
        <f>SUM(O4:O17)</f>
        <v>#REF!</v>
      </c>
      <c r="P19" s="366" t="e">
        <f>SUM(P4:P17)</f>
        <v>#REF!</v>
      </c>
      <c r="Q19" s="366" t="e">
        <f>SUM(Q7:Q17)</f>
        <v>#REF!</v>
      </c>
      <c r="R19" s="367" t="e">
        <f t="shared" ref="R19" si="7">SUM(R4:R17)</f>
        <v>#REF!</v>
      </c>
    </row>
    <row r="20" spans="2:22" ht="30.75" customHeight="1" thickBot="1">
      <c r="B20" s="462" t="s">
        <v>128</v>
      </c>
      <c r="C20" s="462"/>
      <c r="D20" s="462"/>
      <c r="E20" s="462"/>
      <c r="I20" s="117"/>
      <c r="K20" s="348"/>
      <c r="L20" s="27" t="s">
        <v>97</v>
      </c>
      <c r="M20" s="286" t="e">
        <f>SUM(M5:M18)</f>
        <v>#VALUE!</v>
      </c>
      <c r="N20" s="286">
        <f t="shared" si="4"/>
        <v>0</v>
      </c>
      <c r="O20" s="286" t="e">
        <f>SUM(O5:O18)</f>
        <v>#REF!</v>
      </c>
      <c r="P20" s="287" t="e">
        <f>P19/R19</f>
        <v>#REF!</v>
      </c>
      <c r="Q20" s="287" t="e">
        <f>Q19/R19</f>
        <v>#REF!</v>
      </c>
      <c r="R20" s="288" t="e">
        <f>P20+Q20</f>
        <v>#REF!</v>
      </c>
    </row>
    <row r="21" spans="2:22" ht="10.5" customHeight="1" thickBot="1">
      <c r="K21" s="349"/>
      <c r="P21" s="170"/>
      <c r="Q21" s="170"/>
      <c r="R21" s="170"/>
    </row>
    <row r="22" spans="2:22" ht="23.25" customHeight="1" thickBot="1">
      <c r="K22" s="348"/>
      <c r="L22" s="204" t="s">
        <v>98</v>
      </c>
      <c r="M22" s="281"/>
      <c r="N22" s="281"/>
      <c r="O22" s="281" t="s">
        <v>78</v>
      </c>
      <c r="P22" s="362">
        <v>816040</v>
      </c>
      <c r="Q22" s="363">
        <v>204010</v>
      </c>
      <c r="R22" s="364">
        <f>SUM(P22:Q22)</f>
        <v>1020050</v>
      </c>
    </row>
    <row r="23" spans="2:22" ht="8.25" customHeight="1" thickBot="1">
      <c r="K23" s="348"/>
      <c r="L23" s="241"/>
      <c r="M23" s="281"/>
      <c r="N23" s="281"/>
      <c r="O23" s="281"/>
      <c r="P23" s="365"/>
      <c r="Q23" s="365"/>
      <c r="R23" s="365"/>
    </row>
    <row r="24" spans="2:22" ht="23.25" customHeight="1" thickBot="1">
      <c r="K24" s="348"/>
      <c r="L24" s="204" t="s">
        <v>99</v>
      </c>
      <c r="M24" s="281"/>
      <c r="N24" s="281"/>
      <c r="O24" s="281" t="s">
        <v>78</v>
      </c>
      <c r="P24" s="362" t="e">
        <f>P22-P19</f>
        <v>#REF!</v>
      </c>
      <c r="Q24" s="363" t="e">
        <f>Q22-Q19</f>
        <v>#REF!</v>
      </c>
      <c r="R24" s="364" t="e">
        <f>SUM(P24:Q24)</f>
        <v>#REF!</v>
      </c>
    </row>
  </sheetData>
  <mergeCells count="29">
    <mergeCell ref="U4:U8"/>
    <mergeCell ref="U10:U11"/>
    <mergeCell ref="U12:U15"/>
    <mergeCell ref="U16:U17"/>
    <mergeCell ref="B20:E20"/>
    <mergeCell ref="B16:B17"/>
    <mergeCell ref="C16:C17"/>
    <mergeCell ref="M16:M17"/>
    <mergeCell ref="N16:N17"/>
    <mergeCell ref="O16:O17"/>
    <mergeCell ref="P18:R18"/>
    <mergeCell ref="B10:B11"/>
    <mergeCell ref="C10:C11"/>
    <mergeCell ref="M10:M11"/>
    <mergeCell ref="N10:N11"/>
    <mergeCell ref="O10:O11"/>
    <mergeCell ref="B12:B15"/>
    <mergeCell ref="C12:C15"/>
    <mergeCell ref="M12:M15"/>
    <mergeCell ref="N12:N15"/>
    <mergeCell ref="O12:O15"/>
    <mergeCell ref="P1:Q1"/>
    <mergeCell ref="P2:R2"/>
    <mergeCell ref="I3:J3"/>
    <mergeCell ref="B4:B8"/>
    <mergeCell ref="C4:C8"/>
    <mergeCell ref="M4:M8"/>
    <mergeCell ref="N4:N8"/>
    <mergeCell ref="O4:O8"/>
  </mergeCells>
  <printOptions horizontalCentered="1"/>
  <pageMargins left="0.25" right="0.25" top="0.75" bottom="0.75" header="0.3" footer="0.3"/>
  <pageSetup paperSize="9" scale="47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V26"/>
  <sheetViews>
    <sheetView zoomScale="70" zoomScaleNormal="70" workbookViewId="0">
      <selection activeCell="J7" sqref="J7"/>
    </sheetView>
  </sheetViews>
  <sheetFormatPr baseColWidth="10" defaultRowHeight="14.25"/>
  <cols>
    <col min="1" max="1" width="7" style="4" customWidth="1"/>
    <col min="2" max="2" width="22.42578125" style="4" customWidth="1"/>
    <col min="3" max="3" width="46.7109375" style="1" customWidth="1"/>
    <col min="4" max="4" width="22.140625" style="11" customWidth="1"/>
    <col min="5" max="5" width="22" style="1" customWidth="1"/>
    <col min="6" max="7" width="20.5703125" style="1" customWidth="1"/>
    <col min="8" max="8" width="22.140625" style="1" customWidth="1"/>
    <col min="9" max="9" width="40.5703125" style="1" customWidth="1"/>
    <col min="10" max="10" width="20.5703125" style="1" customWidth="1"/>
    <col min="11" max="11" width="20.5703125" style="65" customWidth="1"/>
    <col min="12" max="14" width="20.5703125" style="65" hidden="1" customWidth="1"/>
    <col min="15" max="17" width="20.5703125" style="65" customWidth="1"/>
    <col min="18" max="18" width="19.7109375" style="1" customWidth="1"/>
    <col min="19" max="19" width="19.140625" style="1" customWidth="1"/>
    <col min="20" max="20" width="18.5703125" style="1" bestFit="1" customWidth="1"/>
    <col min="21" max="21" width="11.42578125" style="1"/>
    <col min="22" max="22" width="18.7109375" style="1" bestFit="1" customWidth="1"/>
    <col min="23" max="16384" width="11.42578125" style="1"/>
  </cols>
  <sheetData>
    <row r="1" spans="1:22" ht="15" thickBot="1">
      <c r="O1" s="440"/>
      <c r="P1" s="440"/>
      <c r="Q1" s="89"/>
    </row>
    <row r="2" spans="1:22" ht="35.25" customHeight="1" thickBot="1">
      <c r="A2" s="245" t="s">
        <v>88</v>
      </c>
      <c r="O2" s="441" t="s">
        <v>74</v>
      </c>
      <c r="P2" s="442"/>
      <c r="Q2" s="443"/>
      <c r="R2" s="441" t="s">
        <v>75</v>
      </c>
      <c r="S2" s="442"/>
      <c r="T2" s="443"/>
    </row>
    <row r="3" spans="1:22" ht="71.25" customHeight="1" thickBot="1">
      <c r="A3" s="230" t="s">
        <v>49</v>
      </c>
      <c r="B3" s="27" t="s">
        <v>48</v>
      </c>
      <c r="C3" s="26" t="s">
        <v>5</v>
      </c>
      <c r="D3" s="25" t="s">
        <v>25</v>
      </c>
      <c r="E3" s="25" t="s">
        <v>67</v>
      </c>
      <c r="F3" s="25" t="s">
        <v>27</v>
      </c>
      <c r="G3" s="25" t="s">
        <v>79</v>
      </c>
      <c r="H3" s="25" t="s">
        <v>80</v>
      </c>
      <c r="I3" s="252" t="s">
        <v>52</v>
      </c>
      <c r="J3" s="52" t="s">
        <v>30</v>
      </c>
      <c r="K3" s="121" t="s">
        <v>59</v>
      </c>
      <c r="L3" s="121" t="s">
        <v>70</v>
      </c>
      <c r="M3" s="121" t="s">
        <v>69</v>
      </c>
      <c r="N3" s="122" t="s">
        <v>71</v>
      </c>
      <c r="O3" s="121" t="s">
        <v>72</v>
      </c>
      <c r="P3" s="142" t="s">
        <v>73</v>
      </c>
      <c r="Q3" s="143" t="s">
        <v>63</v>
      </c>
      <c r="R3" s="121" t="s">
        <v>72</v>
      </c>
      <c r="S3" s="142" t="s">
        <v>73</v>
      </c>
      <c r="T3" s="143" t="s">
        <v>63</v>
      </c>
      <c r="U3" s="155"/>
    </row>
    <row r="4" spans="1:22" ht="34.5" customHeight="1">
      <c r="A4" s="248">
        <v>1</v>
      </c>
      <c r="B4" s="430" t="s">
        <v>19</v>
      </c>
      <c r="C4" s="32" t="s">
        <v>35</v>
      </c>
      <c r="D4" s="14" t="s">
        <v>31</v>
      </c>
      <c r="E4" s="15">
        <v>57040</v>
      </c>
      <c r="F4" s="15">
        <v>57040</v>
      </c>
      <c r="G4" s="15">
        <f>F4*1.21</f>
        <v>69018.399999999994</v>
      </c>
      <c r="H4" s="168">
        <f>G4*0.6</f>
        <v>41411.039999999994</v>
      </c>
      <c r="I4" s="255"/>
      <c r="J4" s="53">
        <v>50.9</v>
      </c>
      <c r="K4" s="432">
        <v>816040</v>
      </c>
      <c r="L4" s="432">
        <f>M4-K4</f>
        <v>204010</v>
      </c>
      <c r="M4" s="432">
        <f>K4*100/80</f>
        <v>1020050</v>
      </c>
      <c r="N4" s="434">
        <f>SUM(H4:H8)</f>
        <v>314747.01257999998</v>
      </c>
      <c r="O4" s="133"/>
      <c r="P4" s="134"/>
      <c r="Q4" s="132"/>
      <c r="R4" s="146"/>
      <c r="S4" s="147"/>
      <c r="T4" s="150"/>
    </row>
    <row r="5" spans="1:22" ht="34.5" customHeight="1">
      <c r="A5" s="249">
        <v>2</v>
      </c>
      <c r="B5" s="437"/>
      <c r="C5" s="33" t="s">
        <v>34</v>
      </c>
      <c r="D5" s="10" t="s">
        <v>32</v>
      </c>
      <c r="E5" s="9">
        <v>57040</v>
      </c>
      <c r="F5" s="9">
        <v>57040</v>
      </c>
      <c r="G5" s="9">
        <f t="shared" ref="G5:G18" si="0">F5*1.21</f>
        <v>69018.399999999994</v>
      </c>
      <c r="H5" s="247">
        <f t="shared" ref="H5:H16" si="1">G5*0.6</f>
        <v>41411.039999999994</v>
      </c>
      <c r="I5" s="256"/>
      <c r="J5" s="54">
        <v>49.8</v>
      </c>
      <c r="K5" s="438"/>
      <c r="L5" s="438"/>
      <c r="M5" s="438"/>
      <c r="N5" s="439"/>
      <c r="O5" s="127"/>
      <c r="P5" s="125"/>
      <c r="Q5" s="129"/>
      <c r="R5" s="133"/>
      <c r="S5" s="134"/>
      <c r="T5" s="132"/>
      <c r="U5" s="156"/>
    </row>
    <row r="6" spans="1:22" ht="47.25" customHeight="1">
      <c r="A6" s="249">
        <v>3</v>
      </c>
      <c r="B6" s="437"/>
      <c r="C6" s="33" t="s">
        <v>36</v>
      </c>
      <c r="D6" s="10" t="s">
        <v>33</v>
      </c>
      <c r="E6" s="9">
        <v>84158.12</v>
      </c>
      <c r="F6" s="9">
        <v>84158.12</v>
      </c>
      <c r="G6" s="9">
        <f t="shared" si="0"/>
        <v>101831.32519999999</v>
      </c>
      <c r="H6" s="247">
        <f t="shared" si="1"/>
        <v>61098.795119999995</v>
      </c>
      <c r="I6" s="256"/>
      <c r="J6" s="54">
        <v>35.1</v>
      </c>
      <c r="K6" s="438"/>
      <c r="L6" s="438"/>
      <c r="M6" s="438"/>
      <c r="N6" s="439"/>
      <c r="O6" s="127"/>
      <c r="P6" s="125"/>
      <c r="Q6" s="129"/>
      <c r="R6" s="133"/>
      <c r="S6" s="134"/>
      <c r="T6" s="132"/>
      <c r="U6" s="156"/>
    </row>
    <row r="7" spans="1:22" ht="48.75" customHeight="1">
      <c r="A7" s="249">
        <v>4</v>
      </c>
      <c r="B7" s="437"/>
      <c r="C7" s="33" t="s">
        <v>1</v>
      </c>
      <c r="D7" s="10" t="s">
        <v>43</v>
      </c>
      <c r="E7" s="9">
        <v>199545.68</v>
      </c>
      <c r="F7" s="9">
        <v>199545.68</v>
      </c>
      <c r="G7" s="9">
        <f t="shared" si="0"/>
        <v>241450.27279999998</v>
      </c>
      <c r="H7" s="247">
        <f t="shared" si="1"/>
        <v>144870.16367999997</v>
      </c>
      <c r="I7" s="256"/>
      <c r="J7" s="175">
        <v>51.6</v>
      </c>
      <c r="K7" s="438"/>
      <c r="L7" s="438"/>
      <c r="M7" s="438"/>
      <c r="N7" s="439"/>
      <c r="O7" s="127"/>
      <c r="P7" s="125"/>
      <c r="Q7" s="129"/>
      <c r="R7" s="133"/>
      <c r="S7" s="134"/>
      <c r="T7" s="132"/>
      <c r="U7" s="156" t="s">
        <v>76</v>
      </c>
    </row>
    <row r="8" spans="1:22" ht="77.25" customHeight="1" thickBot="1">
      <c r="A8" s="250">
        <v>5</v>
      </c>
      <c r="B8" s="436"/>
      <c r="C8" s="34" t="s">
        <v>6</v>
      </c>
      <c r="D8" s="16" t="s">
        <v>42</v>
      </c>
      <c r="E8" s="17">
        <v>93305.79</v>
      </c>
      <c r="F8" s="17">
        <v>35752.03</v>
      </c>
      <c r="G8" s="17">
        <f t="shared" si="0"/>
        <v>43259.956299999998</v>
      </c>
      <c r="H8" s="13">
        <f t="shared" si="1"/>
        <v>25955.973779999997</v>
      </c>
      <c r="I8" s="257" t="s">
        <v>89</v>
      </c>
      <c r="J8" s="55">
        <v>68</v>
      </c>
      <c r="K8" s="433"/>
      <c r="L8" s="433"/>
      <c r="M8" s="433"/>
      <c r="N8" s="435"/>
      <c r="O8" s="135">
        <f>H8*0.8</f>
        <v>20764.779023999999</v>
      </c>
      <c r="P8" s="136">
        <f>H8*0.2</f>
        <v>5191.1947559999999</v>
      </c>
      <c r="Q8" s="139">
        <f>O8+P8</f>
        <v>25955.97378</v>
      </c>
      <c r="R8" s="135"/>
      <c r="S8" s="136"/>
      <c r="T8" s="139"/>
      <c r="U8" s="156"/>
    </row>
    <row r="9" spans="1:22" ht="34.5" customHeight="1" thickBot="1">
      <c r="A9" s="251">
        <v>6</v>
      </c>
      <c r="B9" s="253" t="s">
        <v>20</v>
      </c>
      <c r="C9" s="35" t="s">
        <v>7</v>
      </c>
      <c r="D9" s="18" t="s">
        <v>41</v>
      </c>
      <c r="E9" s="19">
        <v>106591.21</v>
      </c>
      <c r="F9" s="19">
        <v>106591.21</v>
      </c>
      <c r="G9" s="19">
        <f t="shared" si="0"/>
        <v>128975.36410000001</v>
      </c>
      <c r="H9" s="19">
        <f t="shared" si="1"/>
        <v>77385.218460000004</v>
      </c>
      <c r="I9" s="258"/>
      <c r="J9" s="56">
        <v>33.299999999999997</v>
      </c>
      <c r="K9" s="75">
        <v>440510</v>
      </c>
      <c r="L9" s="75">
        <f>M9-K9</f>
        <v>110127.5</v>
      </c>
      <c r="M9" s="75">
        <f t="shared" ref="L9:M19" si="2">K9*100/80</f>
        <v>550637.5</v>
      </c>
      <c r="N9" s="123">
        <f>H9</f>
        <v>77385.218460000004</v>
      </c>
      <c r="O9" s="135">
        <f>H9*0.8</f>
        <v>61908.174768000004</v>
      </c>
      <c r="P9" s="136">
        <f>H9*0.2</f>
        <v>15477.043692000001</v>
      </c>
      <c r="Q9" s="139">
        <f>O9+P9</f>
        <v>77385.218460000004</v>
      </c>
      <c r="R9" s="135"/>
      <c r="S9" s="136"/>
      <c r="T9" s="139"/>
      <c r="U9" s="156"/>
    </row>
    <row r="10" spans="1:22" ht="34.5" customHeight="1">
      <c r="A10" s="248">
        <v>7</v>
      </c>
      <c r="B10" s="430" t="s">
        <v>21</v>
      </c>
      <c r="C10" s="32" t="s">
        <v>8</v>
      </c>
      <c r="D10" s="12" t="s">
        <v>40</v>
      </c>
      <c r="E10" s="15">
        <v>1458385.9</v>
      </c>
      <c r="F10" s="15">
        <v>147104.44</v>
      </c>
      <c r="G10" s="15">
        <f t="shared" si="0"/>
        <v>177996.37239999999</v>
      </c>
      <c r="H10" s="15">
        <f t="shared" si="1"/>
        <v>106797.82343999999</v>
      </c>
      <c r="I10" s="265" t="s">
        <v>92</v>
      </c>
      <c r="J10" s="57">
        <v>52.6</v>
      </c>
      <c r="K10" s="432">
        <v>65000</v>
      </c>
      <c r="L10" s="432">
        <f>M10-K10</f>
        <v>16250</v>
      </c>
      <c r="M10" s="432">
        <f t="shared" si="2"/>
        <v>81250</v>
      </c>
      <c r="N10" s="434">
        <f>SUM(H10:H11)</f>
        <v>1126847.8234399999</v>
      </c>
      <c r="O10" s="152"/>
      <c r="P10" s="153"/>
      <c r="Q10" s="132"/>
      <c r="R10" s="130"/>
      <c r="S10" s="131"/>
      <c r="T10" s="132"/>
      <c r="U10" s="156"/>
    </row>
    <row r="11" spans="1:22" ht="34.5" customHeight="1" thickBot="1">
      <c r="A11" s="250">
        <v>8</v>
      </c>
      <c r="B11" s="436"/>
      <c r="C11" s="34" t="s">
        <v>9</v>
      </c>
      <c r="D11" s="16" t="s">
        <v>39</v>
      </c>
      <c r="E11" s="13">
        <v>2976464.92</v>
      </c>
      <c r="F11" s="13">
        <v>2976464.92</v>
      </c>
      <c r="G11" s="13">
        <f t="shared" si="0"/>
        <v>3601522.5532</v>
      </c>
      <c r="H11" s="13">
        <v>1020050</v>
      </c>
      <c r="I11" s="264" t="s">
        <v>90</v>
      </c>
      <c r="J11" s="58">
        <v>85.1</v>
      </c>
      <c r="K11" s="433"/>
      <c r="L11" s="433">
        <f t="shared" si="2"/>
        <v>106.375</v>
      </c>
      <c r="M11" s="433">
        <f t="shared" si="2"/>
        <v>0</v>
      </c>
      <c r="N11" s="435"/>
      <c r="O11" s="133">
        <v>65000</v>
      </c>
      <c r="P11" s="134">
        <f>O11*20/80</f>
        <v>16250</v>
      </c>
      <c r="Q11" s="154">
        <f>O11+P11</f>
        <v>81250</v>
      </c>
      <c r="R11" s="135"/>
      <c r="S11" s="136"/>
      <c r="T11" s="139"/>
      <c r="U11" s="156"/>
    </row>
    <row r="12" spans="1:22" ht="49.5" customHeight="1">
      <c r="A12" s="248">
        <v>9</v>
      </c>
      <c r="B12" s="430" t="s">
        <v>22</v>
      </c>
      <c r="C12" s="32" t="s">
        <v>10</v>
      </c>
      <c r="D12" s="14" t="s">
        <v>38</v>
      </c>
      <c r="E12" s="15">
        <v>1049897.1299999999</v>
      </c>
      <c r="F12" s="15">
        <v>1049897.1299999999</v>
      </c>
      <c r="G12" s="15">
        <f t="shared" si="0"/>
        <v>1270375.5272999997</v>
      </c>
      <c r="H12" s="15">
        <f t="shared" si="1"/>
        <v>762225.31637999986</v>
      </c>
      <c r="I12" s="259"/>
      <c r="J12" s="59">
        <v>80.5</v>
      </c>
      <c r="K12" s="432">
        <v>104346</v>
      </c>
      <c r="L12" s="432">
        <f>M12-K12</f>
        <v>26086.5</v>
      </c>
      <c r="M12" s="432">
        <f t="shared" si="2"/>
        <v>130432.5</v>
      </c>
      <c r="N12" s="434">
        <f>SUM(H12:H15)</f>
        <v>1026059.1105599998</v>
      </c>
      <c r="O12" s="146">
        <f>K12</f>
        <v>104346</v>
      </c>
      <c r="P12" s="147">
        <f>O12*20/80</f>
        <v>26086.5</v>
      </c>
      <c r="Q12" s="151">
        <f>O12+P12</f>
        <v>130432.5</v>
      </c>
      <c r="R12" s="146"/>
      <c r="S12" s="147"/>
      <c r="T12" s="150"/>
      <c r="U12" s="156"/>
    </row>
    <row r="13" spans="1:22" ht="34.5" customHeight="1">
      <c r="A13" s="249">
        <v>10</v>
      </c>
      <c r="B13" s="437"/>
      <c r="C13" s="33" t="s">
        <v>55</v>
      </c>
      <c r="D13" s="10" t="s">
        <v>37</v>
      </c>
      <c r="E13" s="9">
        <v>79638.350000000006</v>
      </c>
      <c r="F13" s="9">
        <v>79638.350000000006</v>
      </c>
      <c r="G13" s="9">
        <f t="shared" si="0"/>
        <v>96362.4035</v>
      </c>
      <c r="H13" s="9">
        <f t="shared" si="1"/>
        <v>57817.4421</v>
      </c>
      <c r="I13" s="260"/>
      <c r="J13" s="54">
        <v>35.4</v>
      </c>
      <c r="K13" s="438"/>
      <c r="L13" s="438">
        <f t="shared" si="2"/>
        <v>44.25</v>
      </c>
      <c r="M13" s="438">
        <f t="shared" si="2"/>
        <v>0</v>
      </c>
      <c r="N13" s="439"/>
      <c r="O13" s="130"/>
      <c r="P13" s="131"/>
      <c r="Q13" s="132"/>
      <c r="R13" s="130"/>
      <c r="S13" s="131"/>
      <c r="T13" s="132"/>
      <c r="U13" s="156"/>
    </row>
    <row r="14" spans="1:22" ht="45.75" customHeight="1">
      <c r="A14" s="249">
        <v>11</v>
      </c>
      <c r="B14" s="437"/>
      <c r="C14" s="33" t="s">
        <v>54</v>
      </c>
      <c r="D14" s="10" t="s">
        <v>44</v>
      </c>
      <c r="E14" s="9">
        <v>119804.82</v>
      </c>
      <c r="F14" s="9">
        <v>119804.82</v>
      </c>
      <c r="G14" s="9">
        <f t="shared" si="0"/>
        <v>144963.8322</v>
      </c>
      <c r="H14" s="9">
        <f t="shared" si="1"/>
        <v>86978.299320000006</v>
      </c>
      <c r="I14" s="260"/>
      <c r="J14" s="54">
        <v>39.700000000000003</v>
      </c>
      <c r="K14" s="438"/>
      <c r="L14" s="438">
        <f t="shared" si="2"/>
        <v>49.625000000000007</v>
      </c>
      <c r="M14" s="438">
        <f t="shared" si="2"/>
        <v>0</v>
      </c>
      <c r="N14" s="439"/>
      <c r="O14" s="128"/>
      <c r="P14" s="126"/>
      <c r="Q14" s="129"/>
      <c r="R14" s="128"/>
      <c r="S14" s="126"/>
      <c r="T14" s="129"/>
      <c r="U14" s="156"/>
    </row>
    <row r="15" spans="1:22" ht="51.75" customHeight="1" thickBot="1">
      <c r="A15" s="250">
        <v>12</v>
      </c>
      <c r="B15" s="436"/>
      <c r="C15" s="34" t="s">
        <v>12</v>
      </c>
      <c r="D15" s="16" t="s">
        <v>45</v>
      </c>
      <c r="E15" s="17">
        <v>163964.26</v>
      </c>
      <c r="F15" s="17">
        <v>163964.26</v>
      </c>
      <c r="G15" s="17">
        <f t="shared" si="0"/>
        <v>198396.75460000001</v>
      </c>
      <c r="H15" s="17">
        <f t="shared" si="1"/>
        <v>119038.05276000001</v>
      </c>
      <c r="I15" s="261"/>
      <c r="J15" s="60">
        <v>77</v>
      </c>
      <c r="K15" s="433"/>
      <c r="L15" s="433">
        <f t="shared" si="2"/>
        <v>96.25</v>
      </c>
      <c r="M15" s="433">
        <f t="shared" si="2"/>
        <v>0</v>
      </c>
      <c r="N15" s="435"/>
      <c r="O15" s="137"/>
      <c r="P15" s="138"/>
      <c r="Q15" s="139"/>
      <c r="R15" s="135"/>
      <c r="S15" s="136"/>
      <c r="T15" s="139"/>
      <c r="U15" s="156" t="s">
        <v>76</v>
      </c>
      <c r="V15" s="161"/>
    </row>
    <row r="16" spans="1:22" ht="62.25" customHeight="1" thickBot="1">
      <c r="A16" s="251">
        <v>13</v>
      </c>
      <c r="B16" s="253" t="s">
        <v>23</v>
      </c>
      <c r="C16" s="35" t="s">
        <v>0</v>
      </c>
      <c r="D16" s="18" t="s">
        <v>46</v>
      </c>
      <c r="E16" s="19">
        <v>157680.5</v>
      </c>
      <c r="F16" s="19">
        <v>157680.5</v>
      </c>
      <c r="G16" s="19">
        <f t="shared" si="0"/>
        <v>190793.405</v>
      </c>
      <c r="H16" s="19">
        <f t="shared" si="1"/>
        <v>114476.04299999999</v>
      </c>
      <c r="I16" s="254" t="s">
        <v>85</v>
      </c>
      <c r="J16" s="61">
        <v>21.9</v>
      </c>
      <c r="K16" s="75">
        <v>492445</v>
      </c>
      <c r="L16" s="75">
        <f>M16-K16</f>
        <v>123111.25</v>
      </c>
      <c r="M16" s="75">
        <f t="shared" si="2"/>
        <v>615556.25</v>
      </c>
      <c r="N16" s="123">
        <f>H16</f>
        <v>114476.04299999999</v>
      </c>
      <c r="O16" s="135"/>
      <c r="P16" s="136"/>
      <c r="Q16" s="139"/>
      <c r="R16" s="135"/>
      <c r="S16" s="136"/>
      <c r="T16" s="139"/>
      <c r="U16" s="156"/>
    </row>
    <row r="17" spans="1:21" ht="34.5" customHeight="1">
      <c r="A17" s="248">
        <v>14</v>
      </c>
      <c r="B17" s="430" t="s">
        <v>24</v>
      </c>
      <c r="C17" s="32" t="s">
        <v>13</v>
      </c>
      <c r="D17" s="14" t="s">
        <v>47</v>
      </c>
      <c r="E17" s="15">
        <v>53719</v>
      </c>
      <c r="F17" s="15">
        <v>53719</v>
      </c>
      <c r="G17" s="15">
        <f t="shared" si="0"/>
        <v>64999.99</v>
      </c>
      <c r="H17" s="15">
        <v>30000</v>
      </c>
      <c r="I17" s="263" t="s">
        <v>90</v>
      </c>
      <c r="J17" s="176">
        <v>35.5</v>
      </c>
      <c r="K17" s="432">
        <v>371264</v>
      </c>
      <c r="L17" s="432">
        <f>M17-K17</f>
        <v>92816</v>
      </c>
      <c r="M17" s="432">
        <f t="shared" si="2"/>
        <v>464080</v>
      </c>
      <c r="N17" s="434">
        <f>H17+H18</f>
        <v>90000</v>
      </c>
      <c r="O17" s="146">
        <f>H17*0.8</f>
        <v>24000</v>
      </c>
      <c r="P17" s="147">
        <f>H17*0.2</f>
        <v>6000</v>
      </c>
      <c r="Q17" s="150">
        <f>O17+P17</f>
        <v>30000</v>
      </c>
      <c r="R17" s="146"/>
      <c r="S17" s="147"/>
      <c r="T17" s="150"/>
      <c r="U17" s="156"/>
    </row>
    <row r="18" spans="1:21" ht="52.5" customHeight="1" thickBot="1">
      <c r="A18" s="250">
        <v>15</v>
      </c>
      <c r="B18" s="431"/>
      <c r="C18" s="29" t="s">
        <v>14</v>
      </c>
      <c r="D18" s="30" t="s">
        <v>47</v>
      </c>
      <c r="E18" s="31">
        <v>407437.24</v>
      </c>
      <c r="F18" s="31">
        <v>272726.55</v>
      </c>
      <c r="G18" s="31">
        <f t="shared" si="0"/>
        <v>329999.12549999997</v>
      </c>
      <c r="H18" s="31">
        <v>60000</v>
      </c>
      <c r="I18" s="262" t="s">
        <v>91</v>
      </c>
      <c r="J18" s="63">
        <v>34.6</v>
      </c>
      <c r="K18" s="433"/>
      <c r="L18" s="433">
        <f t="shared" si="2"/>
        <v>43.25</v>
      </c>
      <c r="M18" s="433">
        <f t="shared" si="2"/>
        <v>0</v>
      </c>
      <c r="N18" s="435"/>
      <c r="O18" s="137"/>
      <c r="P18" s="138"/>
      <c r="Q18" s="139"/>
      <c r="R18" s="135"/>
      <c r="S18" s="136"/>
      <c r="T18" s="139"/>
      <c r="U18" s="156" t="s">
        <v>76</v>
      </c>
    </row>
    <row r="19" spans="1:21" ht="30.75" customHeight="1" thickBot="1">
      <c r="D19" s="242" t="s">
        <v>63</v>
      </c>
      <c r="E19" s="244">
        <f>SUM(E4:E18)</f>
        <v>7064672.919999999</v>
      </c>
      <c r="F19" s="244">
        <f t="shared" ref="F19:N19" si="3">SUM(F4:F18)</f>
        <v>5561127.0099999988</v>
      </c>
      <c r="G19" s="244">
        <f t="shared" si="3"/>
        <v>6728963.6820999999</v>
      </c>
      <c r="H19" s="243">
        <f t="shared" si="3"/>
        <v>2749515.2080399999</v>
      </c>
      <c r="I19" s="246"/>
      <c r="K19" s="119">
        <f t="shared" si="3"/>
        <v>2289605</v>
      </c>
      <c r="L19" s="119">
        <f t="shared" si="3"/>
        <v>572741</v>
      </c>
      <c r="M19" s="119">
        <f t="shared" si="2"/>
        <v>2862006.25</v>
      </c>
      <c r="N19" s="119">
        <f t="shared" si="3"/>
        <v>2749515.2080399999</v>
      </c>
      <c r="O19" s="119">
        <f t="shared" ref="O19" si="4">SUM(O4:O18)</f>
        <v>276018.95379200001</v>
      </c>
      <c r="P19" s="119">
        <f t="shared" ref="P19" si="5">SUM(P4:P18)</f>
        <v>69004.738448000004</v>
      </c>
      <c r="Q19" s="119">
        <f t="shared" ref="Q19" si="6">SUM(Q4:Q18)</f>
        <v>345023.69224</v>
      </c>
      <c r="R19" s="119">
        <f t="shared" ref="R19" si="7">SUM(R4:R18)</f>
        <v>0</v>
      </c>
      <c r="S19" s="119">
        <f t="shared" ref="S19" si="8">SUM(S4:S18)</f>
        <v>0</v>
      </c>
      <c r="T19" s="119">
        <f t="shared" ref="T19" si="9">SUM(T4:T18)</f>
        <v>0</v>
      </c>
    </row>
    <row r="21" spans="1:21" ht="23.25" customHeight="1">
      <c r="G21" s="117"/>
      <c r="H21" s="117"/>
      <c r="O21" s="170">
        <f>O19+R19</f>
        <v>276018.95379200001</v>
      </c>
      <c r="P21" s="170">
        <f>P19+S19</f>
        <v>69004.738448000004</v>
      </c>
      <c r="Q21" s="170">
        <f>Q19+T19</f>
        <v>345023.69224</v>
      </c>
    </row>
    <row r="22" spans="1:21" ht="23.25" customHeight="1" thickBot="1">
      <c r="O22" s="171">
        <f>O21/Q21</f>
        <v>0.8</v>
      </c>
      <c r="P22" s="171">
        <f>P21/Q21</f>
        <v>0.2</v>
      </c>
      <c r="Q22" s="4"/>
    </row>
    <row r="23" spans="1:21" ht="23.25" customHeight="1" thickBot="1">
      <c r="N23" s="65" t="s">
        <v>78</v>
      </c>
      <c r="O23" s="172">
        <v>816040</v>
      </c>
      <c r="P23" s="173">
        <v>204010</v>
      </c>
      <c r="Q23" s="174">
        <f>SUM(O23:P23)</f>
        <v>1020050</v>
      </c>
    </row>
    <row r="26" spans="1:21">
      <c r="S26" s="117"/>
    </row>
  </sheetData>
  <mergeCells count="23">
    <mergeCell ref="L17:L18"/>
    <mergeCell ref="O2:Q2"/>
    <mergeCell ref="R2:T2"/>
    <mergeCell ref="B17:B18"/>
    <mergeCell ref="K17:K18"/>
    <mergeCell ref="N4:N8"/>
    <mergeCell ref="N10:N11"/>
    <mergeCell ref="N12:N15"/>
    <mergeCell ref="N17:N18"/>
    <mergeCell ref="M4:M8"/>
    <mergeCell ref="M10:M11"/>
    <mergeCell ref="M12:M15"/>
    <mergeCell ref="M17:M18"/>
    <mergeCell ref="B12:B15"/>
    <mergeCell ref="K12:K15"/>
    <mergeCell ref="L12:L15"/>
    <mergeCell ref="O1:P1"/>
    <mergeCell ref="B4:B8"/>
    <mergeCell ref="K4:K8"/>
    <mergeCell ref="B10:B11"/>
    <mergeCell ref="K10:K11"/>
    <mergeCell ref="L4:L8"/>
    <mergeCell ref="L10:L1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13</vt:i4>
      </vt:variant>
    </vt:vector>
  </HeadingPairs>
  <TitlesOfParts>
    <vt:vector size="39" baseType="lpstr">
      <vt:lpstr>LISTADO DE PROYECTOS</vt:lpstr>
      <vt:lpstr>LISTADO PROYECTOS </vt:lpstr>
      <vt:lpstr> AYUDAS_H1 PROYECTO 80-20%</vt:lpstr>
      <vt:lpstr> AYUDAS_PROPUESTA_1</vt:lpstr>
      <vt:lpstr> AYUDAS_H3_2PROYECTOS 80-FONDOS</vt:lpstr>
      <vt:lpstr> AYUDAS_PROPUESTA_2</vt:lpstr>
      <vt:lpstr> AYUDAS_PROPUESTA_3</vt:lpstr>
      <vt:lpstr> AYUDAS_PROPUESTA_3SINIVA</vt:lpstr>
      <vt:lpstr>AYUDAS_1 PROYECTO 80-20</vt:lpstr>
      <vt:lpstr>DESCRIPICIÓN PROYECTOS_VALOR_1</vt:lpstr>
      <vt:lpstr>ASIGN_MODI</vt:lpstr>
      <vt:lpstr>ASIGN_MODI+</vt:lpstr>
      <vt:lpstr>DESCRIPICIÓN PROYECTOS_VALO100%</vt:lpstr>
      <vt:lpstr>REP_1P_MAX</vt:lpstr>
      <vt:lpstr>REP_2P</vt:lpstr>
      <vt:lpstr>SITUACION ECONOMICA 2</vt:lpstr>
      <vt:lpstr>REPARTO DE AYUDAS_1 PROYECT MOD</vt:lpstr>
      <vt:lpstr>SITUACION ECONOMICA_V2</vt:lpstr>
      <vt:lpstr>Hoja2 (2)</vt:lpstr>
      <vt:lpstr>Hoja2</vt:lpstr>
      <vt:lpstr>Hoja3</vt:lpstr>
      <vt:lpstr>recibidos</vt:lpstr>
      <vt:lpstr>excluidos</vt:lpstr>
      <vt:lpstr>valoración obtenida</vt:lpstr>
      <vt:lpstr>ayuda asignada</vt:lpstr>
      <vt:lpstr>Hoja1</vt:lpstr>
      <vt:lpstr>' AYUDAS_H1 PROYECTO 80-20%'!Área_de_impresión</vt:lpstr>
      <vt:lpstr>' AYUDAS_H3_2PROYECTOS 80-FONDOS'!Área_de_impresión</vt:lpstr>
      <vt:lpstr>' AYUDAS_PROPUESTA_1'!Área_de_impresión</vt:lpstr>
      <vt:lpstr>' AYUDAS_PROPUESTA_2'!Área_de_impresión</vt:lpstr>
      <vt:lpstr>' AYUDAS_PROPUESTA_3'!Área_de_impresión</vt:lpstr>
      <vt:lpstr>' AYUDAS_PROPUESTA_3SINIVA'!Área_de_impresión</vt:lpstr>
      <vt:lpstr>'ayuda asignada'!Área_de_impresión</vt:lpstr>
      <vt:lpstr>excluidos!Área_de_impresión</vt:lpstr>
      <vt:lpstr>recibidos!Área_de_impresión</vt:lpstr>
      <vt:lpstr>'valoración obtenida'!Área_de_impresión</vt:lpstr>
      <vt:lpstr>'ayuda asignada'!Títulos_a_imprimir</vt:lpstr>
      <vt:lpstr>recibidos!Títulos_a_imprimir</vt:lpstr>
      <vt:lpstr>'valoración obtenida'!Títulos_a_imprimir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dfores</dc:creator>
  <cp:lastModifiedBy>j_bilbao</cp:lastModifiedBy>
  <cp:lastPrinted>2016-09-08T08:12:23Z</cp:lastPrinted>
  <dcterms:created xsi:type="dcterms:W3CDTF">2014-06-18T07:52:54Z</dcterms:created>
  <dcterms:modified xsi:type="dcterms:W3CDTF">2016-09-08T08:16:06Z</dcterms:modified>
</cp:coreProperties>
</file>